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e de Limpezas" sheetId="1" state="visible" r:id="rId1"/>
    <sheet xmlns:r="http://schemas.openxmlformats.org/officeDocument/2006/relationships" name="Cadastro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0" hidden="1">'Controle de Limpezas'!$A$2:$S$11</definedName>
    <definedName name="_xlnm._FilterDatabase" localSheetId="1" hidden="1">'Cadastros'!$A$2:$F$7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AAAA"/>
    <numFmt numFmtId="165" formatCode="#.##0"/>
    <numFmt numFmtId="166" formatCode="&quot;R$&quot; #.##0,00"/>
    <numFmt numFmtId="167" formatCode="0,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0"/>
    </font>
    <font>
      <name val="Calibri"/>
      <color rgb="001E293B"/>
      <sz val="10"/>
    </font>
    <font>
      <name val="Calibri"/>
      <b val="1"/>
      <color rgb="001E293B"/>
      <sz val="10"/>
    </font>
    <font>
      <name val="Calibri"/>
      <b val="1"/>
      <color rgb="00C8102E"/>
      <sz val="11"/>
    </font>
    <font>
      <name val="Calibri"/>
      <b val="1"/>
      <color rgb="00DC2626"/>
      <sz val="11"/>
    </font>
    <font>
      <name val="Calibri"/>
      <b val="1"/>
      <color rgb="00B45309"/>
      <sz val="16"/>
    </font>
    <font>
      <name val="Calibri"/>
      <b val="1"/>
      <color rgb="0016A34A"/>
      <sz val="11"/>
    </font>
    <font>
      <name val="Calibri"/>
      <b val="1"/>
      <color rgb="0016A34A"/>
      <sz val="10"/>
    </font>
    <font>
      <name val="Calibri"/>
      <b val="1"/>
      <color rgb="00B45309"/>
      <sz val="10"/>
    </font>
    <font>
      <name val="Calibri"/>
      <b val="1"/>
      <color rgb="00DC2626"/>
      <sz val="10"/>
    </font>
  </fonts>
  <fills count="7">
    <fill>
      <patternFill/>
    </fill>
    <fill>
      <patternFill patternType="gray125"/>
    </fill>
    <fill>
      <patternFill patternType="solid">
        <fgColor rgb="00EA580C"/>
      </patternFill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7ED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left" vertical="center" wrapText="1"/>
    </xf>
    <xf numFmtId="166" fontId="3" fillId="5" borderId="1" applyAlignment="1" pivotButton="0" quotePrefix="0" xfId="0">
      <alignment horizontal="right" vertical="center"/>
    </xf>
    <xf numFmtId="1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right" vertical="center"/>
    </xf>
    <xf numFmtId="166" fontId="4" fillId="6" borderId="1" pivotButton="0" quotePrefix="0" xfId="0"/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1" fontId="4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6" fontId="4" fillId="0" borderId="1" applyAlignment="1" pivotButton="0" quotePrefix="0" xfId="0">
      <alignment horizontal="center" vertical="center" wrapText="1"/>
    </xf>
    <xf numFmtId="1" fontId="6" fillId="0" borderId="1" applyAlignment="1" pivotButton="0" quotePrefix="0" xfId="0">
      <alignment horizontal="center" vertical="center" wrapText="1"/>
    </xf>
    <xf numFmtId="1" fontId="7" fillId="0" borderId="1" applyAlignment="1" pivotButton="0" quotePrefix="0" xfId="0">
      <alignment horizontal="center" vertical="center" wrapText="1"/>
    </xf>
    <xf numFmtId="167" fontId="8" fillId="0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9" fillId="0" borderId="1" pivotButton="0" quotePrefix="0" xfId="0"/>
    <xf numFmtId="0" fontId="3" fillId="0" borderId="1" pivotButton="0" quotePrefix="0" xfId="0"/>
    <xf numFmtId="166" fontId="3" fillId="0" borderId="1" pivotButton="0" quotePrefix="0" xfId="0"/>
    <xf numFmtId="0" fontId="10" fillId="0" borderId="1" pivotButton="0" quotePrefix="0" xfId="0"/>
    <xf numFmtId="0" fontId="11" fillId="0" borderId="1" pivotButton="0" quotePrefix="0" xfId="0"/>
    <xf numFmtId="0" fontId="5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166" fontId="3" fillId="5" borderId="1" applyAlignment="1" pivotButton="0" quotePrefix="0" xfId="0">
      <alignment horizontal="right" vertical="center"/>
    </xf>
    <xf numFmtId="166" fontId="4" fillId="6" borderId="1" pivotButton="0" quotePrefix="0" xfId="0"/>
    <xf numFmtId="0" fontId="0" fillId="0" borderId="4" pivotButton="0" quotePrefix="0" xfId="0"/>
    <xf numFmtId="166" fontId="4" fillId="0" borderId="1" applyAlignment="1" pivotButton="0" quotePrefix="0" xfId="0">
      <alignment horizontal="center" vertical="center" wrapText="1"/>
    </xf>
    <xf numFmtId="167" fontId="8" fillId="0" borderId="1" applyAlignment="1" pivotButton="0" quotePrefix="0" xfId="0">
      <alignment horizontal="center" vertical="center" wrapText="1"/>
    </xf>
    <xf numFmtId="166" fontId="3" fillId="0" borderId="1" pivotButton="0" quotePrefix="0" xfId="0"/>
  </cellXfs>
  <cellStyles count="1">
    <cellStyle name="Normal" xfId="0" builtinId="0" hidden="0"/>
  </cellStyles>
  <dxfs count="3">
    <dxf>
      <font>
        <b val="1"/>
        <color rgb="00DC2626"/>
      </font>
    </dxf>
    <dxf>
      <font>
        <b val="1"/>
        <color rgb="00B45309"/>
      </font>
      <fill>
        <patternFill patternType="solid">
          <fgColor rgb="00FEF3C7"/>
        </patternFill>
      </fill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Registros por Situação</a:t>
            </a:r>
          </a:p>
        </rich>
      </tx>
    </title>
    <plotArea>
      <barChart>
        <barDir val="bar"/>
        <grouping val="clustered"/>
        <ser>
          <idx val="0"/>
          <order val="0"/>
          <spPr>
            <a:solidFill xmlns:a="http://schemas.openxmlformats.org/drawingml/2006/main">
              <a:srgbClr val="EA580C"/>
            </a:solidFill>
            <a:ln xmlns:a="http://schemas.openxmlformats.org/drawingml/2006/main">
              <a:prstDash val="solid"/>
            </a:ln>
          </spPr>
          <cat>
            <numRef>
              <f>'Dashboard'!$A$11:$A$13</f>
            </numRef>
          </cat>
          <val>
            <numRef>
              <f>'Dashboard'!$B$11:$B$13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 Total por Cidade</a:t>
            </a:r>
          </a:p>
        </rich>
      </tx>
    </title>
    <plotArea>
      <barChart>
        <barDir val="col"/>
        <grouping val="clustered"/>
        <ser>
          <idx val="0"/>
          <order val="0"/>
          <spPr>
            <a:solidFill xmlns:a="http://schemas.openxmlformats.org/drawingml/2006/main">
              <a:srgbClr val="334155"/>
            </a:solidFill>
            <a:ln xmlns:a="http://schemas.openxmlformats.org/drawingml/2006/main">
              <a:prstDash val="solid"/>
            </a:ln>
          </spPr>
          <cat>
            <numRef>
              <f>'Dashboard'!$D$11:$D$18</f>
            </numRef>
          </cat>
          <val>
            <numRef>
              <f>'Dashboard'!$E$11:$E$18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&quot;R$&quot; #.##0" sourceLinked="0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Limpezas por Mês (2026)</a:t>
            </a:r>
          </a:p>
        </rich>
      </tx>
    </title>
    <plotArea>
      <lineChart>
        <grouping val="standard"/>
        <ser>
          <idx val="0"/>
          <order val="0"/>
          <spPr>
            <a:ln xmlns:a="http://schemas.openxmlformats.org/drawingml/2006/main" w="25000">
              <a:solidFill>
                <a:srgbClr val="EA580C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'Dashboard'!$G$11:$G$17</f>
            </numRef>
          </cat>
          <val>
            <numRef>
              <f>'Dashboard'!$H$11:$H$17</f>
            </numRef>
          </val>
          <smooth val="0"/>
        </ser>
        <dLbls>
          <showVal val="1"/>
        </dLbls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432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04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8</col>
      <colOff>0</colOff>
      <row>19</row>
      <rowOff>0</rowOff>
    </from>
    <ext cx="4320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13" customWidth="1" min="3" max="3"/>
    <col width="30" customWidth="1" min="4" max="4"/>
    <col width="20" customWidth="1" min="5" max="5"/>
    <col width="15" customWidth="1" min="6" max="6"/>
    <col width="32" customWidth="1" min="7" max="7"/>
    <col width="12" customWidth="1" min="8" max="8"/>
    <col width="22" customWidth="1" min="9" max="9"/>
    <col width="12" customWidth="1" min="10" max="10"/>
    <col width="24" customWidth="1" min="11" max="11"/>
    <col width="16" customWidth="1" min="12" max="12"/>
    <col width="22" customWidth="1" min="13" max="13"/>
    <col width="22" customWidth="1" min="14" max="14"/>
    <col width="14" customWidth="1" min="15" max="15"/>
    <col width="12" customWidth="1" min="16" max="16"/>
    <col width="22" customWidth="1" min="17" max="17"/>
    <col width="12" customWidth="1" min="18" max="18"/>
    <col width="38" customWidth="1" min="19" max="19"/>
  </cols>
  <sheetData>
    <row r="1" ht="26" customHeight="1">
      <c r="A1" s="1" t="inlineStr">
        <is>
          <t>Controle de Limpeza da Caixa d'Água</t>
        </is>
      </c>
    </row>
    <row r="2" ht="34" customHeight="1">
      <c r="A2" s="2" t="inlineStr">
        <is>
          <t>ID</t>
        </is>
      </c>
      <c r="B2" s="2" t="inlineStr">
        <is>
          <t>Data da Limpeza</t>
        </is>
      </c>
      <c r="C2" s="2" t="inlineStr">
        <is>
          <t>Próxima Limpeza Prevista</t>
        </is>
      </c>
      <c r="D2" s="2" t="inlineStr">
        <is>
          <t>Cliente / Condomínio</t>
        </is>
      </c>
      <c r="E2" s="2" t="inlineStr">
        <is>
          <t>CNPJ</t>
        </is>
      </c>
      <c r="F2" s="2" t="inlineStr">
        <is>
          <t>Cidade</t>
        </is>
      </c>
      <c r="G2" s="2" t="inlineStr">
        <is>
          <t>Endereço</t>
        </is>
      </c>
      <c r="H2" s="2" t="inlineStr">
        <is>
          <t>Volume da Caixa (L)</t>
        </is>
      </c>
      <c r="I2" s="2" t="inlineStr">
        <is>
          <t>Tipo de Estabelecimento</t>
        </is>
      </c>
      <c r="J2" s="2" t="inlineStr">
        <is>
          <t>ID Prestador</t>
        </is>
      </c>
      <c r="K2" s="2" t="inlineStr">
        <is>
          <t>Prestador Responsável</t>
        </is>
      </c>
      <c r="L2" s="2" t="inlineStr">
        <is>
          <t>Nº OS / Certificado</t>
        </is>
      </c>
      <c r="M2" s="2" t="inlineStr">
        <is>
          <t>Produto Utilizado</t>
        </is>
      </c>
      <c r="N2" s="2" t="inlineStr">
        <is>
          <t>Resultado da Inspeção</t>
        </is>
      </c>
      <c r="O2" s="2" t="inlineStr">
        <is>
          <t>Custo da Limpeza</t>
        </is>
      </c>
      <c r="P2" s="2" t="inlineStr">
        <is>
          <t>Dias até Próxima Limpeza</t>
        </is>
      </c>
      <c r="Q2" s="2" t="inlineStr">
        <is>
          <t>Situação</t>
        </is>
      </c>
      <c r="R2" s="2" t="inlineStr">
        <is>
          <t>Realizada no Prazo?</t>
        </is>
      </c>
      <c r="S2" s="2" t="inlineStr">
        <is>
          <t>Observações</t>
        </is>
      </c>
    </row>
    <row r="3">
      <c r="A3" s="3" t="inlineStr">
        <is>
          <t>L-001</t>
        </is>
      </c>
      <c r="B3" s="34" t="n">
        <v>46034</v>
      </c>
      <c r="C3" s="35">
        <f>IF(B3="","",EDATE(B3,6))</f>
        <v/>
      </c>
      <c r="D3" s="6" t="inlineStr">
        <is>
          <t>Condomínio Parque das Flores</t>
        </is>
      </c>
      <c r="E3" s="6" t="inlineStr">
        <is>
          <t>01.234.567/0001-89</t>
        </is>
      </c>
      <c r="F3" s="6" t="inlineStr">
        <is>
          <t>São Paulo</t>
        </is>
      </c>
      <c r="G3" s="6" t="inlineStr">
        <is>
          <t>Rua das Acácias, 120 - Moema</t>
        </is>
      </c>
      <c r="H3" s="36" t="n">
        <v>20000</v>
      </c>
      <c r="I3" s="6" t="inlineStr">
        <is>
          <t>Condomínio residencial</t>
        </is>
      </c>
      <c r="J3" s="3" t="inlineStr">
        <is>
          <t>PR-01</t>
        </is>
      </c>
      <c r="K3" s="8">
        <f>IFERROR(VLOOKUP(J3,Cadastros!$A$3:$B$7,2,FALSE),"Prestador não cadastrado")</f>
        <v/>
      </c>
      <c r="L3" s="3" t="inlineStr">
        <is>
          <t>OS-2026-0011</t>
        </is>
      </c>
      <c r="M3" s="6" t="inlineStr">
        <is>
          <t>Cloro ativo 2,5%</t>
        </is>
      </c>
      <c r="N3" s="6" t="inlineStr">
        <is>
          <t>Aprovado</t>
        </is>
      </c>
      <c r="O3" s="37" t="n">
        <v>850</v>
      </c>
      <c r="P3" s="10">
        <f>IF(C3="","",C3-TODAY())</f>
        <v/>
      </c>
      <c r="Q3" s="11">
        <f>IF(C3="","",IF(C3&lt;TODAY(),"Vencida",IF(C3&lt;=TODAY()+30,"Próxima do vencimento","Em dia")))</f>
        <v/>
      </c>
      <c r="R3" s="11">
        <f>IF(B3="","",IF(B3&lt;=C3,"Sim","Não"))</f>
        <v/>
      </c>
      <c r="S3" s="6" t="inlineStr">
        <is>
          <t>Nenhuma intercorrência</t>
        </is>
      </c>
    </row>
    <row r="4">
      <c r="A4" s="3" t="inlineStr">
        <is>
          <t>L-002</t>
        </is>
      </c>
      <c r="B4" s="34" t="n">
        <v>46056</v>
      </c>
      <c r="C4" s="35">
        <f>IF(B4="","",EDATE(B4,6))</f>
        <v/>
      </c>
      <c r="D4" s="6" t="inlineStr">
        <is>
          <t>Clínica Vida Nova</t>
        </is>
      </c>
      <c r="E4" s="6" t="inlineStr">
        <is>
          <t>02.345.678/0001-90</t>
        </is>
      </c>
      <c r="F4" s="6" t="inlineStr">
        <is>
          <t>Rio de Janeiro</t>
        </is>
      </c>
      <c r="G4" s="6" t="inlineStr">
        <is>
          <t>Av. Atlântica, 450 - Copacabana</t>
        </is>
      </c>
      <c r="H4" s="36" t="n">
        <v>10000</v>
      </c>
      <c r="I4" s="6" t="inlineStr">
        <is>
          <t>Clínica / Saúde</t>
        </is>
      </c>
      <c r="J4" s="3" t="inlineStr">
        <is>
          <t>PR-02</t>
        </is>
      </c>
      <c r="K4" s="8">
        <f>IFERROR(VLOOKUP(J4,Cadastros!$A$3:$B$7,2,FALSE),"Prestador não cadastrado")</f>
        <v/>
      </c>
      <c r="L4" s="3" t="inlineStr">
        <is>
          <t>OS-2026-0027</t>
        </is>
      </c>
      <c r="M4" s="6" t="inlineStr">
        <is>
          <t>Hipoclorito de sódio 1%</t>
        </is>
      </c>
      <c r="N4" s="6" t="inlineStr">
        <is>
          <t>Aprovado</t>
        </is>
      </c>
      <c r="O4" s="37" t="n">
        <v>720</v>
      </c>
      <c r="P4" s="10">
        <f>IF(C4="","",C4-TODAY())</f>
        <v/>
      </c>
      <c r="Q4" s="11">
        <f>IF(C4="","",IF(C4&lt;TODAY(),"Vencida",IF(C4&lt;=TODAY()+30,"Próxima do vencimento","Em dia")))</f>
        <v/>
      </c>
      <c r="R4" s="11">
        <f>IF(B4="","",IF(B4&lt;=C4,"Sim","Não"))</f>
        <v/>
      </c>
      <c r="S4" s="6" t="inlineStr">
        <is>
          <t>Laudo microbiológico anexado</t>
        </is>
      </c>
    </row>
    <row r="5">
      <c r="A5" s="3" t="inlineStr">
        <is>
          <t>L-003</t>
        </is>
      </c>
      <c r="B5" s="34" t="n">
        <v>46073</v>
      </c>
      <c r="C5" s="35">
        <f>IF(B5="","",EDATE(B5,6))</f>
        <v/>
      </c>
      <c r="D5" s="6" t="inlineStr">
        <is>
          <t>Escola Caminhos do Saber</t>
        </is>
      </c>
      <c r="E5" s="6" t="inlineStr">
        <is>
          <t>03.456.789/0001-01</t>
        </is>
      </c>
      <c r="F5" s="6" t="inlineStr">
        <is>
          <t>Belo Horizonte</t>
        </is>
      </c>
      <c r="G5" s="6" t="inlineStr">
        <is>
          <t>Rua dos Estudantes, 88 - Savassi</t>
        </is>
      </c>
      <c r="H5" s="36" t="n">
        <v>15000</v>
      </c>
      <c r="I5" s="6" t="inlineStr">
        <is>
          <t>Escola</t>
        </is>
      </c>
      <c r="J5" s="3" t="inlineStr">
        <is>
          <t>PR-04</t>
        </is>
      </c>
      <c r="K5" s="8">
        <f>IFERROR(VLOOKUP(J5,Cadastros!$A$3:$B$7,2,FALSE),"Prestador não cadastrado")</f>
        <v/>
      </c>
      <c r="L5" s="3" t="inlineStr">
        <is>
          <t>OS-2026-0033</t>
        </is>
      </c>
      <c r="M5" s="6" t="inlineStr">
        <is>
          <t>Cloro ativo 2,5%</t>
        </is>
      </c>
      <c r="N5" s="6" t="inlineStr">
        <is>
          <t>Aprovado com observação</t>
        </is>
      </c>
      <c r="O5" s="37" t="n">
        <v>680</v>
      </c>
      <c r="P5" s="10">
        <f>IF(C5="","",C5-TODAY())</f>
        <v/>
      </c>
      <c r="Q5" s="11">
        <f>IF(C5="","",IF(C5&lt;TODAY(),"Vencida",IF(C5&lt;=TODAY()+30,"Próxima do vencimento","Em dia")))</f>
        <v/>
      </c>
      <c r="R5" s="11">
        <f>IF(B5="","",IF(B5&lt;=C5,"Sim","Não"))</f>
        <v/>
      </c>
      <c r="S5" s="6" t="inlineStr">
        <is>
          <t>Recomendada troca da tampa de inspeção</t>
        </is>
      </c>
    </row>
    <row r="6">
      <c r="A6" s="3" t="inlineStr">
        <is>
          <t>L-004</t>
        </is>
      </c>
      <c r="B6" s="34" t="n">
        <v>46050</v>
      </c>
      <c r="C6" s="35">
        <f>IF(B6="","",EDATE(B6,6))</f>
        <v/>
      </c>
      <c r="D6" s="6" t="inlineStr">
        <is>
          <t>Restaurante Sabor Mineiro</t>
        </is>
      </c>
      <c r="E6" s="6" t="inlineStr">
        <is>
          <t>04.567.890/0001-12</t>
        </is>
      </c>
      <c r="F6" s="6" t="inlineStr">
        <is>
          <t>Belo Horizonte</t>
        </is>
      </c>
      <c r="G6" s="6" t="inlineStr">
        <is>
          <t>Rua da Bahia, 1120 - Centro</t>
        </is>
      </c>
      <c r="H6" s="36" t="n">
        <v>5000</v>
      </c>
      <c r="I6" s="6" t="inlineStr">
        <is>
          <t>Restaurante</t>
        </is>
      </c>
      <c r="J6" s="3" t="inlineStr">
        <is>
          <t>PR-04</t>
        </is>
      </c>
      <c r="K6" s="8">
        <f>IFERROR(VLOOKUP(J6,Cadastros!$A$3:$B$7,2,FALSE),"Prestador não cadastrado")</f>
        <v/>
      </c>
      <c r="L6" s="3" t="inlineStr">
        <is>
          <t>OS-2026-0019</t>
        </is>
      </c>
      <c r="M6" s="6" t="inlineStr">
        <is>
          <t>Hipoclorito de sódio 1%</t>
        </is>
      </c>
      <c r="N6" s="6" t="inlineStr">
        <is>
          <t>Aprovado</t>
        </is>
      </c>
      <c r="O6" s="37" t="n">
        <v>280</v>
      </c>
      <c r="P6" s="10">
        <f>IF(C6="","",C6-TODAY())</f>
        <v/>
      </c>
      <c r="Q6" s="11">
        <f>IF(C6="","",IF(C6&lt;TODAY(),"Vencida",IF(C6&lt;=TODAY()+30,"Próxima do vencimento","Em dia")))</f>
        <v/>
      </c>
      <c r="R6" s="11">
        <f>IF(B6="","",IF(B6&lt;=C6,"Sim","Não"))</f>
        <v/>
      </c>
      <c r="S6" s="6" t="inlineStr">
        <is>
          <t>Coifa e caixa inspecionadas</t>
        </is>
      </c>
    </row>
    <row r="7">
      <c r="A7" s="3" t="inlineStr">
        <is>
          <t>L-005</t>
        </is>
      </c>
      <c r="B7" s="34" t="n">
        <v>46096</v>
      </c>
      <c r="C7" s="35">
        <f>IF(B7="","",EDATE(B7,6))</f>
        <v/>
      </c>
      <c r="D7" s="6" t="inlineStr">
        <is>
          <t>Condomínio Solar do Lago</t>
        </is>
      </c>
      <c r="E7" s="6" t="inlineStr">
        <is>
          <t>05.678.901/0001-23</t>
        </is>
      </c>
      <c r="F7" s="6" t="inlineStr">
        <is>
          <t>Curitiba</t>
        </is>
      </c>
      <c r="G7" s="6" t="inlineStr">
        <is>
          <t>Rua das Araucárias, 300 - Batel</t>
        </is>
      </c>
      <c r="H7" s="36" t="n">
        <v>30000</v>
      </c>
      <c r="I7" s="6" t="inlineStr">
        <is>
          <t>Condomínio residencial</t>
        </is>
      </c>
      <c r="J7" s="3" t="inlineStr">
        <is>
          <t>PR-05</t>
        </is>
      </c>
      <c r="K7" s="8">
        <f>IFERROR(VLOOKUP(J7,Cadastros!$A$3:$B$7,2,FALSE),"Prestador não cadastrado")</f>
        <v/>
      </c>
      <c r="L7" s="3" t="inlineStr">
        <is>
          <t>OS-2026-0048</t>
        </is>
      </c>
      <c r="M7" s="6" t="inlineStr">
        <is>
          <t>Cloro ativo 2,5%</t>
        </is>
      </c>
      <c r="N7" s="6" t="inlineStr">
        <is>
          <t>Aprovado</t>
        </is>
      </c>
      <c r="O7" s="37" t="n">
        <v>1250</v>
      </c>
      <c r="P7" s="10">
        <f>IF(C7="","",C7-TODAY())</f>
        <v/>
      </c>
      <c r="Q7" s="11">
        <f>IF(C7="","",IF(C7&lt;TODAY(),"Vencida",IF(C7&lt;=TODAY()+30,"Próxima do vencimento","Em dia")))</f>
        <v/>
      </c>
      <c r="R7" s="11">
        <f>IF(B7="","",IF(B7&lt;=C7,"Sim","Não"))</f>
        <v/>
      </c>
      <c r="S7" s="6" t="inlineStr">
        <is>
          <t>Dois reservatórios higienizados</t>
        </is>
      </c>
    </row>
    <row r="8">
      <c r="A8" s="3" t="inlineStr">
        <is>
          <t>L-006</t>
        </is>
      </c>
      <c r="B8" s="34" t="n">
        <v>46120</v>
      </c>
      <c r="C8" s="35">
        <f>IF(B8="","",EDATE(B8,6))</f>
        <v/>
      </c>
      <c r="D8" s="6" t="inlineStr">
        <is>
          <t>Hotel Brisa do Porto</t>
        </is>
      </c>
      <c r="E8" s="6" t="inlineStr">
        <is>
          <t>06.789.012/0001-34</t>
        </is>
      </c>
      <c r="F8" s="6" t="inlineStr">
        <is>
          <t>Porto Alegre</t>
        </is>
      </c>
      <c r="G8" s="6" t="inlineStr">
        <is>
          <t>Av. Mauá, 900 - Centro Histórico</t>
        </is>
      </c>
      <c r="H8" s="36" t="n">
        <v>25000</v>
      </c>
      <c r="I8" s="6" t="inlineStr">
        <is>
          <t>Hotel</t>
        </is>
      </c>
      <c r="J8" s="3" t="inlineStr">
        <is>
          <t>PR-03</t>
        </is>
      </c>
      <c r="K8" s="8">
        <f>IFERROR(VLOOKUP(J8,Cadastros!$A$3:$B$7,2,FALSE),"Prestador não cadastrado")</f>
        <v/>
      </c>
      <c r="L8" s="3" t="inlineStr">
        <is>
          <t>OS-2026-0062</t>
        </is>
      </c>
      <c r="M8" s="6" t="inlineStr">
        <is>
          <t>Hipoclorito de sódio 1%</t>
        </is>
      </c>
      <c r="N8" s="6" t="inlineStr">
        <is>
          <t>Aprovado</t>
        </is>
      </c>
      <c r="O8" s="37" t="n">
        <v>1100</v>
      </c>
      <c r="P8" s="10">
        <f>IF(C8="","",C8-TODAY())</f>
        <v/>
      </c>
      <c r="Q8" s="11">
        <f>IF(C8="","",IF(C8&lt;TODAY(),"Vencida",IF(C8&lt;=TODAY()+30,"Próxima do vencimento","Em dia")))</f>
        <v/>
      </c>
      <c r="R8" s="11">
        <f>IF(B8="","",IF(B8&lt;=C8,"Sim","Não"))</f>
        <v/>
      </c>
      <c r="S8" s="6" t="inlineStr">
        <is>
          <t>Agendada próxima para outubro</t>
        </is>
      </c>
    </row>
    <row r="9">
      <c r="A9" s="3" t="inlineStr">
        <is>
          <t>L-007</t>
        </is>
      </c>
      <c r="B9" s="34" t="n">
        <v>46161</v>
      </c>
      <c r="C9" s="35">
        <f>IF(B9="","",EDATE(B9,6))</f>
        <v/>
      </c>
      <c r="D9" s="6" t="inlineStr">
        <is>
          <t>Academia Corpo em Forma</t>
        </is>
      </c>
      <c r="E9" s="6" t="inlineStr">
        <is>
          <t>07.890.123/0001-45</t>
        </is>
      </c>
      <c r="F9" s="6" t="inlineStr">
        <is>
          <t>Salvador</t>
        </is>
      </c>
      <c r="G9" s="6" t="inlineStr">
        <is>
          <t>Rua Chile, 45 - Centro</t>
        </is>
      </c>
      <c r="H9" s="36" t="n">
        <v>8000</v>
      </c>
      <c r="I9" s="6" t="inlineStr">
        <is>
          <t>Academia</t>
        </is>
      </c>
      <c r="J9" s="3" t="inlineStr">
        <is>
          <t>PR-02</t>
        </is>
      </c>
      <c r="K9" s="8">
        <f>IFERROR(VLOOKUP(J9,Cadastros!$A$3:$B$7,2,FALSE),"Prestador não cadastrado")</f>
        <v/>
      </c>
      <c r="L9" s="3" t="inlineStr">
        <is>
          <t>OS-2026-0074</t>
        </is>
      </c>
      <c r="M9" s="6" t="inlineStr">
        <is>
          <t>Cloro ativo 2,5%</t>
        </is>
      </c>
      <c r="N9" s="6" t="inlineStr">
        <is>
          <t>Necessita manutenção</t>
        </is>
      </c>
      <c r="O9" s="37" t="n">
        <v>450</v>
      </c>
      <c r="P9" s="10">
        <f>IF(C9="","",C9-TODAY())</f>
        <v/>
      </c>
      <c r="Q9" s="11">
        <f>IF(C9="","",IF(C9&lt;TODAY(),"Vencida",IF(C9&lt;=TODAY()+30,"Próxima do vencimento","Em dia")))</f>
        <v/>
      </c>
      <c r="R9" s="11">
        <f>IF(B9="","",IF(B9&lt;=C9,"Sim","Não"))</f>
        <v/>
      </c>
      <c r="S9" s="6" t="inlineStr">
        <is>
          <t>Vazamento na base — reparo solicitado</t>
        </is>
      </c>
    </row>
    <row r="10">
      <c r="A10" s="3" t="inlineStr">
        <is>
          <t>L-008</t>
        </is>
      </c>
      <c r="B10" s="34" t="n">
        <v>46183</v>
      </c>
      <c r="C10" s="35">
        <f>IF(B10="","",EDATE(B10,6))</f>
        <v/>
      </c>
      <c r="D10" s="6" t="inlineStr">
        <is>
          <t>Edifício Alvorada Offices</t>
        </is>
      </c>
      <c r="E10" s="6" t="inlineStr">
        <is>
          <t>08.901.234/0001-56</t>
        </is>
      </c>
      <c r="F10" s="6" t="inlineStr">
        <is>
          <t>Brasília</t>
        </is>
      </c>
      <c r="G10" s="6" t="inlineStr">
        <is>
          <t>SHS Quadra 6, Bloco C - Asa Sul</t>
        </is>
      </c>
      <c r="H10" s="36" t="n">
        <v>18000</v>
      </c>
      <c r="I10" s="6" t="inlineStr">
        <is>
          <t>Edifício comercial</t>
        </is>
      </c>
      <c r="J10" s="3" t="inlineStr">
        <is>
          <t>PR-01</t>
        </is>
      </c>
      <c r="K10" s="8">
        <f>IFERROR(VLOOKUP(J10,Cadastros!$A$3:$B$7,2,FALSE),"Prestador não cadastrado")</f>
        <v/>
      </c>
      <c r="L10" s="3" t="inlineStr">
        <is>
          <t>OS-2026-0089</t>
        </is>
      </c>
      <c r="M10" s="6" t="inlineStr">
        <is>
          <t>Hipoclorito de sódio 1%</t>
        </is>
      </c>
      <c r="N10" s="6" t="inlineStr">
        <is>
          <t>Aprovado</t>
        </is>
      </c>
      <c r="O10" s="37" t="n">
        <v>950</v>
      </c>
      <c r="P10" s="10">
        <f>IF(C10="","",C10-TODAY())</f>
        <v/>
      </c>
      <c r="Q10" s="11">
        <f>IF(C10="","",IF(C10&lt;TODAY(),"Vencida",IF(C10&lt;=TODAY()+30,"Próxima do vencimento","Em dia")))</f>
        <v/>
      </c>
      <c r="R10" s="11">
        <f>IF(B10="","",IF(B10&lt;=C10,"Sim","Não"))</f>
        <v/>
      </c>
      <c r="S10" s="6" t="inlineStr">
        <is>
          <t>Certificado entregue ao síndico</t>
        </is>
      </c>
    </row>
    <row r="11">
      <c r="A11" s="3" t="inlineStr">
        <is>
          <t>L-009</t>
        </is>
      </c>
      <c r="B11" s="34" t="n">
        <v>46205</v>
      </c>
      <c r="C11" s="35">
        <f>IF(B11="","",EDATE(B11,6))</f>
        <v/>
      </c>
      <c r="D11" s="6" t="inlineStr">
        <is>
          <t>Supermercado Bom Preço</t>
        </is>
      </c>
      <c r="E11" s="6" t="inlineStr">
        <is>
          <t>09.012.345/0001-67</t>
        </is>
      </c>
      <c r="F11" s="6" t="inlineStr">
        <is>
          <t>Campinas</t>
        </is>
      </c>
      <c r="G11" s="6" t="inlineStr">
        <is>
          <t>Av. Norte Sul, 1500 - Jardim do Lago</t>
        </is>
      </c>
      <c r="H11" s="36" t="n">
        <v>12000</v>
      </c>
      <c r="I11" s="6" t="inlineStr">
        <is>
          <t>Comércio / Alimentos</t>
        </is>
      </c>
      <c r="J11" s="3" t="inlineStr">
        <is>
          <t>PR-05</t>
        </is>
      </c>
      <c r="K11" s="8">
        <f>IFERROR(VLOOKUP(J11,Cadastros!$A$3:$B$7,2,FALSE),"Prestador não cadastrado")</f>
        <v/>
      </c>
      <c r="L11" s="3" t="inlineStr">
        <is>
          <t>OS-2026-0095</t>
        </is>
      </c>
      <c r="M11" s="6" t="inlineStr">
        <is>
          <t>Cloro ativo 2,5%</t>
        </is>
      </c>
      <c r="N11" s="6" t="inlineStr">
        <is>
          <t>Aprovado com observação</t>
        </is>
      </c>
      <c r="O11" s="37" t="n">
        <v>620</v>
      </c>
      <c r="P11" s="10">
        <f>IF(C11="","",C11-TODAY())</f>
        <v/>
      </c>
      <c r="Q11" s="11">
        <f>IF(C11="","",IF(C11&lt;TODAY(),"Vencida",IF(C11&lt;=TODAY()+30,"Próxima do vencimento","Em dia")))</f>
        <v/>
      </c>
      <c r="R11" s="11">
        <f>IF(B11="","",IF(B11&lt;=C11,"Sim","Não"))</f>
        <v/>
      </c>
      <c r="S11" s="6" t="inlineStr">
        <is>
          <t>Verificar vedação da borda superior</t>
        </is>
      </c>
    </row>
    <row r="12"/>
    <row r="13">
      <c r="N13" s="12" t="inlineStr">
        <is>
          <t>Total de Custos</t>
        </is>
      </c>
      <c r="O13" s="38">
        <f>SUM(O3:O11)</f>
        <v/>
      </c>
    </row>
    <row r="14">
      <c r="N14" s="12" t="inlineStr">
        <is>
          <t>Custo Médio</t>
        </is>
      </c>
      <c r="O14" s="38">
        <f>IFERROR(AVERAGE(O3:O11),0)</f>
        <v/>
      </c>
    </row>
  </sheetData>
  <autoFilter ref="A2:S11"/>
  <mergeCells count="1">
    <mergeCell ref="A1:S1"/>
  </mergeCells>
  <conditionalFormatting sqref="Q3:Q11">
    <cfRule type="expression" priority="1" dxfId="0" stopIfTrue="1">
      <formula>Q3="Vencida"</formula>
    </cfRule>
    <cfRule type="expression" priority="2" dxfId="1" stopIfTrue="1">
      <formula>Q3="Próxima do vencimento"</formula>
    </cfRule>
    <cfRule type="expression" priority="3" dxfId="2" stopIfTrue="1">
      <formula>Q3="Em dia"</formula>
    </cfRule>
  </conditionalFormatting>
  <dataValidations count="3">
    <dataValidation sqref="I3:I11" showErrorMessage="1" showInputMessage="1" allowBlank="1" type="list">
      <formula1>"Condomínio residencial,Clínica / Saúde,Escola,Restaurante,Hotel,Academia,Edifício comercial,Comércio / Alimentos,Indústria"</formula1>
    </dataValidation>
    <dataValidation sqref="N3:N11" showErrorMessage="1" showInputMessage="1" allowBlank="1" type="list">
      <formula1>"Aprovado,Aprovado com observação,Necessita manutenção"</formula1>
    </dataValidation>
    <dataValidation sqref="J3:J11" showErrorMessage="1" showInputMessage="1" allowBlank="1" type="list">
      <formula1>"PR-01,PR-02,PR-03,PR-04,PR-05"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  <col width="20" customWidth="1" min="3" max="3"/>
    <col width="16" customWidth="1" min="4" max="4"/>
    <col width="20" customWidth="1" min="5" max="5"/>
    <col width="26" customWidth="1" min="6" max="6"/>
  </cols>
  <sheetData>
    <row r="1" ht="26" customHeight="1">
      <c r="A1" s="1" t="inlineStr">
        <is>
          <t>Cadastro de Prestadores</t>
        </is>
      </c>
    </row>
    <row r="2">
      <c r="A2" s="2" t="inlineStr">
        <is>
          <t>ID do Prestador</t>
        </is>
      </c>
      <c r="B2" s="2" t="inlineStr">
        <is>
          <t>Nome da Empresa / Profissional</t>
        </is>
      </c>
      <c r="C2" s="2" t="inlineStr">
        <is>
          <t>CNPJ ou CPF</t>
        </is>
      </c>
      <c r="D2" s="2" t="inlineStr">
        <is>
          <t>Telefone</t>
        </is>
      </c>
      <c r="E2" s="2" t="inlineStr">
        <is>
          <t>Cidade de Atendimento</t>
        </is>
      </c>
      <c r="F2" s="2" t="inlineStr">
        <is>
          <t>Certificado / Licença Sanitária</t>
        </is>
      </c>
    </row>
    <row r="3">
      <c r="A3" s="14" t="inlineStr">
        <is>
          <t>PR-01</t>
        </is>
      </c>
      <c r="B3" s="15" t="inlineStr">
        <is>
          <t>HidroClean Serviços</t>
        </is>
      </c>
      <c r="C3" s="15" t="inlineStr">
        <is>
          <t>12.345.678/0001-90</t>
        </is>
      </c>
      <c r="D3" s="15" t="inlineStr">
        <is>
          <t>(11) 4002-8922</t>
        </is>
      </c>
      <c r="E3" s="15" t="inlineStr">
        <is>
          <t>São Paulo</t>
        </is>
      </c>
      <c r="F3" s="15" t="inlineStr">
        <is>
          <t>CEVS-SP 1234/2026</t>
        </is>
      </c>
    </row>
    <row r="4">
      <c r="A4" s="16" t="inlineStr">
        <is>
          <t>PR-02</t>
        </is>
      </c>
      <c r="B4" s="17" t="inlineStr">
        <is>
          <t>Água Pura Manutenção</t>
        </is>
      </c>
      <c r="C4" s="17" t="inlineStr">
        <is>
          <t>23.456.789/0001-01</t>
        </is>
      </c>
      <c r="D4" s="17" t="inlineStr">
        <is>
          <t>(21) 3555-0147</t>
        </is>
      </c>
      <c r="E4" s="17" t="inlineStr">
        <is>
          <t>Rio de Janeiro</t>
        </is>
      </c>
      <c r="F4" s="17" t="inlineStr">
        <is>
          <t>VISA-RJ 2210/2026</t>
        </is>
      </c>
    </row>
    <row r="5">
      <c r="A5" s="14" t="inlineStr">
        <is>
          <t>PR-03</t>
        </is>
      </c>
      <c r="B5" s="15" t="inlineStr">
        <is>
          <t>Limpa Caixa SP</t>
        </is>
      </c>
      <c r="C5" s="15" t="inlineStr">
        <is>
          <t>34.567.890/0001-12</t>
        </is>
      </c>
      <c r="D5" s="15" t="inlineStr">
        <is>
          <t>(11) 3777-2288</t>
        </is>
      </c>
      <c r="E5" s="15" t="inlineStr">
        <is>
          <t>São Paulo</t>
        </is>
      </c>
      <c r="F5" s="15" t="inlineStr">
        <is>
          <t>CEVS-SP 0987/2026</t>
        </is>
      </c>
    </row>
    <row r="6">
      <c r="A6" s="16" t="inlineStr">
        <is>
          <t>PR-04</t>
        </is>
      </c>
      <c r="B6" s="17" t="inlineStr">
        <is>
          <t>Sanear Reservatórios</t>
        </is>
      </c>
      <c r="C6" s="17" t="inlineStr">
        <is>
          <t>45.678.901/0001-23</t>
        </is>
      </c>
      <c r="D6" s="17" t="inlineStr">
        <is>
          <t>(31) 3222-5566</t>
        </is>
      </c>
      <c r="E6" s="17" t="inlineStr">
        <is>
          <t>Belo Horizonte</t>
        </is>
      </c>
      <c r="F6" s="17" t="inlineStr">
        <is>
          <t>VISA-MG 3345/2026</t>
        </is>
      </c>
    </row>
    <row r="7">
      <c r="A7" s="14" t="inlineStr">
        <is>
          <t>PR-05</t>
        </is>
      </c>
      <c r="B7" s="15" t="inlineStr">
        <is>
          <t>BlueTank Higienização</t>
        </is>
      </c>
      <c r="C7" s="15" t="inlineStr">
        <is>
          <t>56.789.012/0001-34</t>
        </is>
      </c>
      <c r="D7" s="15" t="inlineStr">
        <is>
          <t>(41) 3000-8899</t>
        </is>
      </c>
      <c r="E7" s="15" t="inlineStr">
        <is>
          <t>Curitiba</t>
        </is>
      </c>
      <c r="F7" s="15" t="inlineStr">
        <is>
          <t>VISA-PR 4412/2026</t>
        </is>
      </c>
    </row>
  </sheetData>
  <autoFilter ref="A2:F7"/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8"/>
  <sheetViews>
    <sheetView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3" customWidth="1" min="3" max="3"/>
    <col width="18" customWidth="1" min="4" max="4"/>
    <col width="16" customWidth="1" min="5" max="5"/>
    <col width="3" customWidth="1" min="6" max="6"/>
    <col width="14" customWidth="1" min="7" max="7"/>
    <col width="12" customWidth="1" min="8" max="8"/>
    <col width="12" customWidth="1" min="9" max="9"/>
    <col width="12" customWidth="1" min="10" max="10"/>
  </cols>
  <sheetData>
    <row r="1" ht="26" customHeight="1">
      <c r="A1" s="1" t="inlineStr">
        <is>
          <t>Dashboard — Limpeza de Caixas d'Água</t>
        </is>
      </c>
    </row>
    <row r="2"/>
    <row r="3">
      <c r="A3" s="18" t="inlineStr">
        <is>
          <t>Total de Limpezas</t>
        </is>
      </c>
      <c r="B3" s="39" t="n"/>
      <c r="C3" s="18" t="inlineStr">
        <is>
          <t>Custo Total</t>
        </is>
      </c>
      <c r="D3" s="39" t="n"/>
      <c r="E3" s="18" t="inlineStr">
        <is>
          <t>Custo Médio por Limpeza</t>
        </is>
      </c>
      <c r="F3" s="39" t="n"/>
    </row>
    <row r="4">
      <c r="A4" s="20">
        <f>COUNTIF('Controle de Limpezas'!$B$3:$B$11,"&lt;&gt;")</f>
        <v/>
      </c>
      <c r="B4" s="39" t="n"/>
      <c r="C4" s="40">
        <f>SUM('Controle de Limpezas'!$O$3:$O$11)</f>
        <v/>
      </c>
      <c r="D4" s="39" t="n"/>
      <c r="E4" s="40">
        <f>IFERROR(AVERAGE('Controle de Limpezas'!$O$3:$O$11),0)</f>
        <v/>
      </c>
      <c r="F4" s="39" t="n"/>
    </row>
    <row r="5"/>
    <row r="6">
      <c r="A6" s="18" t="inlineStr">
        <is>
          <t>Limpezas Vencidas</t>
        </is>
      </c>
      <c r="B6" s="39" t="n"/>
      <c r="C6" s="18" t="inlineStr">
        <is>
          <t>Próximas do Vencimento</t>
        </is>
      </c>
      <c r="D6" s="39" t="n"/>
      <c r="E6" s="18" t="inlineStr">
        <is>
          <t>% Realizado no Prazo</t>
        </is>
      </c>
      <c r="F6" s="39" t="n"/>
    </row>
    <row r="7">
      <c r="A7" s="23">
        <f>COUNTIF('Controle de Limpezas'!$Q$3:$Q$11,"Vencida")</f>
        <v/>
      </c>
      <c r="B7" s="39" t="n"/>
      <c r="C7" s="24">
        <f>COUNTIF('Controle de Limpezas'!$Q$3:$Q$11,"Próxima do vencimento")</f>
        <v/>
      </c>
      <c r="D7" s="39" t="n"/>
      <c r="E7" s="41">
        <f>IFERROR(COUNTIF('Controle de Limpezas'!$R$3:$R$11,"Sim")/COUNTIF('Controle de Limpezas'!$R$3:$R$11,"&lt;&gt;"),0)</f>
        <v/>
      </c>
      <c r="F7" s="39" t="n"/>
    </row>
    <row r="8"/>
    <row r="9"/>
    <row r="10">
      <c r="A10" s="26" t="inlineStr">
        <is>
          <t>Registros por Situação</t>
        </is>
      </c>
      <c r="D10" s="26" t="inlineStr">
        <is>
          <t>Custo por Cidade</t>
        </is>
      </c>
      <c r="G10" s="26" t="inlineStr">
        <is>
          <t>Limpezas por Mês</t>
        </is>
      </c>
    </row>
    <row r="11">
      <c r="A11" s="27" t="inlineStr">
        <is>
          <t>Em dia</t>
        </is>
      </c>
      <c r="B11" s="16">
        <f>COUNTIF('Controle de Limpezas'!$Q$3:$Q$11,"Em dia")</f>
        <v/>
      </c>
      <c r="D11" s="28" t="inlineStr">
        <is>
          <t>São Paulo</t>
        </is>
      </c>
      <c r="E11" s="42">
        <f>SUMIF('Controle de Limpezas'!$F$3:$F$11,"São Paulo",'Controle de Limpezas'!$O$3:$O$11)</f>
        <v/>
      </c>
      <c r="G11" s="28" t="inlineStr">
        <is>
          <t>Janeiro</t>
        </is>
      </c>
      <c r="H11" s="16">
        <f>COUNTIFS('Controle de Limpezas'!$B$3:$B$11,"&gt;="&amp;DATE(2026,1,1),'Controle de Limpezas'!$B$3:$B$11,"&lt;"&amp;DATE(2026,2,1))</f>
        <v/>
      </c>
    </row>
    <row r="12">
      <c r="A12" s="30" t="inlineStr">
        <is>
          <t>Próxima do vencimento</t>
        </is>
      </c>
      <c r="B12" s="16">
        <f>COUNTIF('Controle de Limpezas'!$Q$3:$Q$11,"Próxima do vencimento")</f>
        <v/>
      </c>
      <c r="D12" s="28" t="inlineStr">
        <is>
          <t>Rio de Janeiro</t>
        </is>
      </c>
      <c r="E12" s="42">
        <f>SUMIF('Controle de Limpezas'!$F$3:$F$11,"Rio de Janeiro",'Controle de Limpezas'!$O$3:$O$11)</f>
        <v/>
      </c>
      <c r="G12" s="28" t="inlineStr">
        <is>
          <t>Fevereiro</t>
        </is>
      </c>
      <c r="H12" s="16">
        <f>COUNTIFS('Controle de Limpezas'!$B$3:$B$11,"&gt;="&amp;DATE(2026,2,1),'Controle de Limpezas'!$B$3:$B$11,"&lt;"&amp;DATE(2026,3,1))</f>
        <v/>
      </c>
    </row>
    <row r="13">
      <c r="A13" s="31" t="inlineStr">
        <is>
          <t>Vencida</t>
        </is>
      </c>
      <c r="B13" s="16">
        <f>COUNTIF('Controle de Limpezas'!$Q$3:$Q$11,"Vencida")</f>
        <v/>
      </c>
      <c r="D13" s="28" t="inlineStr">
        <is>
          <t>Belo Horizonte</t>
        </is>
      </c>
      <c r="E13" s="42">
        <f>SUMIF('Controle de Limpezas'!$F$3:$F$11,"Belo Horizonte",'Controle de Limpezas'!$O$3:$O$11)</f>
        <v/>
      </c>
      <c r="G13" s="28" t="inlineStr">
        <is>
          <t>Março</t>
        </is>
      </c>
      <c r="H13" s="16">
        <f>COUNTIFS('Controle de Limpezas'!$B$3:$B$11,"&gt;="&amp;DATE(2026,3,1),'Controle de Limpezas'!$B$3:$B$11,"&lt;"&amp;DATE(2026,4,1))</f>
        <v/>
      </c>
    </row>
    <row r="14">
      <c r="D14" s="28" t="inlineStr">
        <is>
          <t>Curitiba</t>
        </is>
      </c>
      <c r="E14" s="42">
        <f>SUMIF('Controle de Limpezas'!$F$3:$F$11,"Curitiba",'Controle de Limpezas'!$O$3:$O$11)</f>
        <v/>
      </c>
      <c r="G14" s="28" t="inlineStr">
        <is>
          <t>Abril</t>
        </is>
      </c>
      <c r="H14" s="16">
        <f>COUNTIFS('Controle de Limpezas'!$B$3:$B$11,"&gt;="&amp;DATE(2026,4,1),'Controle de Limpezas'!$B$3:$B$11,"&lt;"&amp;DATE(2026,5,1))</f>
        <v/>
      </c>
    </row>
    <row r="15">
      <c r="D15" s="28" t="inlineStr">
        <is>
          <t>Porto Alegre</t>
        </is>
      </c>
      <c r="E15" s="42">
        <f>SUMIF('Controle de Limpezas'!$F$3:$F$11,"Porto Alegre",'Controle de Limpezas'!$O$3:$O$11)</f>
        <v/>
      </c>
      <c r="G15" s="28" t="inlineStr">
        <is>
          <t>Maio</t>
        </is>
      </c>
      <c r="H15" s="16">
        <f>COUNTIFS('Controle de Limpezas'!$B$3:$B$11,"&gt;="&amp;DATE(2026,5,1),'Controle de Limpezas'!$B$3:$B$11,"&lt;"&amp;DATE(2026,6,1))</f>
        <v/>
      </c>
    </row>
    <row r="16">
      <c r="D16" s="28" t="inlineStr">
        <is>
          <t>Salvador</t>
        </is>
      </c>
      <c r="E16" s="42">
        <f>SUMIF('Controle de Limpezas'!$F$3:$F$11,"Salvador",'Controle de Limpezas'!$O$3:$O$11)</f>
        <v/>
      </c>
      <c r="G16" s="28" t="inlineStr">
        <is>
          <t>Junho</t>
        </is>
      </c>
      <c r="H16" s="16">
        <f>COUNTIFS('Controle de Limpezas'!$B$3:$B$11,"&gt;="&amp;DATE(2026,6,1),'Controle de Limpezas'!$B$3:$B$11,"&lt;"&amp;DATE(2026,7,1))</f>
        <v/>
      </c>
    </row>
    <row r="17">
      <c r="D17" s="28" t="inlineStr">
        <is>
          <t>Brasília</t>
        </is>
      </c>
      <c r="E17" s="42">
        <f>SUMIF('Controle de Limpezas'!$F$3:$F$11,"Brasília",'Controle de Limpezas'!$O$3:$O$11)</f>
        <v/>
      </c>
      <c r="G17" s="28" t="inlineStr">
        <is>
          <t>Julho</t>
        </is>
      </c>
      <c r="H17" s="16">
        <f>COUNTIFS('Controle de Limpezas'!$B$3:$B$11,"&gt;="&amp;DATE(2026,7,1),'Controle de Limpezas'!$B$3:$B$11,"&lt;"&amp;DATE(2026,8,1))</f>
        <v/>
      </c>
    </row>
    <row r="18">
      <c r="D18" s="28" t="inlineStr">
        <is>
          <t>Campinas</t>
        </is>
      </c>
      <c r="E18" s="42">
        <f>SUMIF('Controle de Limpezas'!$F$3:$F$11,"Campinas",'Controle de Limpezas'!$O$3:$O$11)</f>
        <v/>
      </c>
    </row>
  </sheetData>
  <mergeCells count="13">
    <mergeCell ref="A1:J1"/>
    <mergeCell ref="A3:B3"/>
    <mergeCell ref="A4:B4"/>
    <mergeCell ref="C3:D3"/>
    <mergeCell ref="C4:D4"/>
    <mergeCell ref="E3:F3"/>
    <mergeCell ref="E4:F4"/>
    <mergeCell ref="A6:B6"/>
    <mergeCell ref="A7:B7"/>
    <mergeCell ref="C6:D6"/>
    <mergeCell ref="C7:D7"/>
    <mergeCell ref="E6:F6"/>
    <mergeCell ref="E7:F7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</cols>
  <sheetData>
    <row r="1" ht="28" customHeight="1">
      <c r="A1" s="1" t="inlineStr">
        <is>
          <t>Instruções de Uso — Controle de Limpeza da Caixa d'Água</t>
        </is>
      </c>
    </row>
    <row r="2"/>
    <row r="3">
      <c r="A3" s="32" t="inlineStr">
        <is>
          <t>Como usar</t>
        </is>
      </c>
    </row>
    <row r="4" ht="32" customHeight="1">
      <c r="A4" s="33" t="inlineStr">
        <is>
          <t>Registre cada limpeza na aba 'Controle de Limpezas' logo após a execução do serviço. Preencha apenas as células em amarelo (#FFFBEB); as demais são calculadas automaticamente.</t>
        </is>
      </c>
    </row>
    <row r="5"/>
    <row r="6">
      <c r="A6" s="32" t="inlineStr">
        <is>
          <t>Ordem de serviço</t>
        </is>
      </c>
    </row>
    <row r="7" ht="32" customHeight="1">
      <c r="A7" s="33" t="inlineStr">
        <is>
          <t>Informe sempre o número da OS ou do certificado de limpeza emitido pelo prestador no campo 'Nº OS / Certificado'.</t>
        </is>
      </c>
    </row>
    <row r="8"/>
    <row r="9">
      <c r="A9" s="32" t="inlineStr">
        <is>
          <t>Documentação</t>
        </is>
      </c>
    </row>
    <row r="10" ht="32" customHeight="1">
      <c r="A10" s="33" t="inlineStr">
        <is>
          <t>Mantenha comprovantes, laudos microbiológicos e certificados arquivados para inspeções da vigilância sanitária.</t>
        </is>
      </c>
    </row>
    <row r="11"/>
    <row r="12">
      <c r="A12" s="32" t="inlineStr">
        <is>
          <t>Periodicidade</t>
        </is>
      </c>
    </row>
    <row r="13" ht="32" customHeight="1">
      <c r="A13" s="33" t="inlineStr">
        <is>
          <t>Recomenda-se limpeza semestral das caixas d'água, ajustável conforme legislação municipal, características do reservatório e orientação técnica do responsável.</t>
        </is>
      </c>
    </row>
    <row r="14"/>
    <row r="15">
      <c r="A15" s="32" t="inlineStr">
        <is>
          <t>Produtos</t>
        </is>
      </c>
    </row>
    <row r="16" ht="32" customHeight="1">
      <c r="A16" s="33" t="inlineStr">
        <is>
          <t>Utilize somente produtos apropriados para higienização de reservatórios de água potável e siga as orientações da vigilância sanitária local.</t>
        </is>
      </c>
    </row>
    <row r="17"/>
    <row r="18">
      <c r="A18" s="32" t="inlineStr">
        <is>
          <t>Alertas automáticos</t>
        </is>
      </c>
    </row>
    <row r="19" ht="32" customHeight="1">
      <c r="A19" s="33" t="inlineStr">
        <is>
          <t>A coluna 'Situação' destaca em vermelho limpezas vencidas, em amarelo as próximas do vencimento (até 30 dias) e em verde as em dia. A próxima limpeza é calculada automaticamente para 6 meses após a execução.</t>
        </is>
      </c>
    </row>
    <row r="20"/>
    <row r="21">
      <c r="A21" s="32" t="inlineStr">
        <is>
          <t>Prestadores</t>
        </is>
      </c>
    </row>
    <row r="22" ht="32" customHeight="1">
      <c r="A22" s="33" t="inlineStr">
        <is>
          <t>Cadastre prestadores na aba 'Cadastros'. Ao informar o ID do prestador no controle, o nome da empresa é preenchido automaticamente.</t>
        </is>
      </c>
    </row>
    <row r="23"/>
    <row r="24">
      <c r="A24" s="32" t="inlineStr">
        <is>
          <t>LGPD</t>
        </is>
      </c>
    </row>
    <row r="25" ht="32" customHeight="1">
      <c r="A25" s="33" t="inlineStr">
        <is>
          <t>Evite inserir dados pessoais desnecessários (nomes de moradores, contatos pessoais). Registre apenas dados empresariais essenciais, observando a Lei Geral de Proteção de Dados.</t>
        </is>
      </c>
    </row>
    <row r="26"/>
    <row r="27">
      <c r="A27" s="32" t="inlineStr">
        <is>
          <t>Dashboard</t>
        </is>
      </c>
    </row>
    <row r="28" ht="32" customHeight="1">
      <c r="A28" s="33" t="inlineStr">
        <is>
          <t>A aba 'Dashboard' consolida automaticamente indicadores, gráficos por situação, custo por cidade e evolução mensal das limpezas.</t>
        </is>
      </c>
    </row>
  </sheetData>
  <mergeCells count="19">
    <mergeCell ref="A1:D1"/>
    <mergeCell ref="A3:D3"/>
    <mergeCell ref="A4:D4"/>
    <mergeCell ref="A6:D6"/>
    <mergeCell ref="A7:D7"/>
    <mergeCell ref="A9:D9"/>
    <mergeCell ref="A10:D10"/>
    <mergeCell ref="A12:D12"/>
    <mergeCell ref="A13:D13"/>
    <mergeCell ref="A15:D15"/>
    <mergeCell ref="A16:D16"/>
    <mergeCell ref="A18:D18"/>
    <mergeCell ref="A19:D19"/>
    <mergeCell ref="A21:D21"/>
    <mergeCell ref="A22:D22"/>
    <mergeCell ref="A24:D24"/>
    <mergeCell ref="A25:D25"/>
    <mergeCell ref="A27:D27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2026-08-01T16:44:19Z</dcterms:created>
  <dcterms:modified xmlns:dcterms="http://purl.org/dc/terms/" xmlns:xsi="http://www.w3.org/2001/XMLSchema-instance" xsi:type="dcterms:W3CDTF">2026-08-01T16:44:19Z</dcterms:modified>
</cp:coreProperties>
</file>