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dastro_Medicamentos" sheetId="1" state="visible" r:id="rId1"/>
    <sheet xmlns:r="http://schemas.openxmlformats.org/officeDocument/2006/relationships" name="Movimentaçõ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R$&quot; #.##0,00"/>
    <numFmt numFmtId="165" formatCode="0.0%"/>
    <numFmt numFmtId="166" formatCode="#.##0"/>
  </numFmts>
  <fonts count="6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</font>
    <font>
      <b val="1"/>
      <color rgb="000F766E"/>
      <sz val="12"/>
    </font>
    <font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49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0" fillId="3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49" fontId="0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165" fontId="0" fillId="5" borderId="1" pivotButton="0" quotePrefix="0" xfId="0"/>
    <xf numFmtId="49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4" fontId="0" fillId="3" borderId="1" pivotButton="0" quotePrefix="0" xfId="0"/>
    <xf numFmtId="164" fontId="0" fillId="5" borderId="1" pivotButton="0" quotePrefix="0" xfId="0"/>
    <xf numFmtId="0" fontId="2" fillId="6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0" fillId="0" borderId="4" pivotButton="0" quotePrefix="0" xfId="0"/>
    <xf numFmtId="1" fontId="4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6" fontId="4" fillId="5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Estoque Atual por Medicamento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'Dashboard'!$A$15:$A$24</f>
            </numRef>
          </cat>
          <val>
            <numRef>
              <f>'Dashboard'!$B$15:$B$24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Medicamento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'Dashboard'!$D$15:$D$22</f>
            </numRef>
          </cat>
          <val>
            <numRef>
              <f>'Dashboard'!$E$15:$E$22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Saídas por Mês em 2026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'Dashboard'!H14</f>
            </strRef>
          </tx>
          <spPr>
            <a:ln xmlns:a="http://schemas.openxmlformats.org/drawingml/2006/main" w="25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'Dashboard'!$G$15:$G$26</f>
            </numRef>
          </cat>
          <val>
            <numRef>
              <f>'Dashboard'!$H$15:$H$26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Medicamentos Abaixo do Estoque Mínimo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'Dashboard'!B31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'Dashboard'!$A$32:$A$41</f>
            </numRef>
          </cat>
          <val>
            <numRef>
              <f>'Dashboard'!$B$32:$B$41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Medicamento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9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36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53</row>
      <rowOff>0</rowOff>
    </from>
    <ext cx="576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22" customWidth="1" min="3" max="3"/>
    <col width="16" customWidth="1" min="4" max="4"/>
    <col width="18" customWidth="1" min="5" max="5"/>
    <col width="12" customWidth="1" min="6" max="6"/>
    <col width="12" customWidth="1" min="7" max="7"/>
    <col width="15" customWidth="1" min="8" max="8"/>
    <col width="15" customWidth="1" min="9" max="9"/>
    <col width="14" customWidth="1" min="10" max="10"/>
    <col width="14" customWidth="1" min="11" max="11"/>
    <col width="16" customWidth="1" min="12" max="12"/>
    <col width="16" customWidth="1" min="13" max="13"/>
    <col width="26" customWidth="1" min="14" max="14"/>
    <col width="20" customWidth="1" min="15" max="15"/>
    <col width="18" customWidth="1" min="16" max="16"/>
    <col width="12" customWidth="1" min="17" max="17"/>
    <col width="11" customWidth="1" min="18" max="18"/>
    <col width="20" customWidth="1" min="19" max="19"/>
  </cols>
  <sheetData>
    <row r="1" ht="26" customHeight="1">
      <c r="A1" s="1" t="inlineStr">
        <is>
          <t>CONTROLE DE MEDICAMENTOS - CADASTRO E ESTOQUE</t>
        </is>
      </c>
    </row>
    <row r="2">
      <c r="A2" s="2" t="inlineStr">
        <is>
          <t>Código</t>
        </is>
      </c>
      <c r="B2" s="2" t="inlineStr">
        <is>
          <t>Medicamento</t>
        </is>
      </c>
      <c r="C2" s="2" t="inlineStr">
        <is>
          <t>Princípio Ativo</t>
        </is>
      </c>
      <c r="D2" s="2" t="inlineStr">
        <is>
          <t>Apresentação</t>
        </is>
      </c>
      <c r="E2" s="2" t="inlineStr">
        <is>
          <t>Categoria</t>
        </is>
      </c>
      <c r="F2" s="2" t="inlineStr">
        <is>
          <t>Lote</t>
        </is>
      </c>
      <c r="G2" s="2" t="inlineStr">
        <is>
          <t>Validade</t>
        </is>
      </c>
      <c r="H2" s="2" t="inlineStr">
        <is>
          <t>Quantidade Inicial</t>
        </is>
      </c>
      <c r="I2" s="2" t="inlineStr">
        <is>
          <t>Quantidade Atual</t>
        </is>
      </c>
      <c r="J2" s="2" t="inlineStr">
        <is>
          <t>Estoque Mínimo</t>
        </is>
      </c>
      <c r="K2" s="2" t="inlineStr">
        <is>
          <t>Estoque Máximo</t>
        </is>
      </c>
      <c r="L2" s="2" t="inlineStr">
        <is>
          <t>Preço de Custo (R$)</t>
        </is>
      </c>
      <c r="M2" s="2" t="inlineStr">
        <is>
          <t>Preço de Venda (R$)</t>
        </is>
      </c>
      <c r="N2" s="2" t="inlineStr">
        <is>
          <t>Fornecedor</t>
        </is>
      </c>
      <c r="O2" s="2" t="inlineStr">
        <is>
          <t>CNPJ do Fornecedor</t>
        </is>
      </c>
      <c r="P2" s="2" t="inlineStr">
        <is>
          <t>Município</t>
        </is>
      </c>
      <c r="Q2" s="2" t="inlineStr">
        <is>
          <t>Situação</t>
        </is>
      </c>
      <c r="R2" s="2" t="inlineStr">
        <is>
          <t>% Margem</t>
        </is>
      </c>
      <c r="S2" s="2" t="inlineStr">
        <is>
          <t>Alerta Validade</t>
        </is>
      </c>
    </row>
    <row r="3">
      <c r="A3" s="3" t="inlineStr">
        <is>
          <t>MED001</t>
        </is>
      </c>
      <c r="B3" s="4" t="inlineStr">
        <is>
          <t>Dipirona Sódica 500mg</t>
        </is>
      </c>
      <c r="C3" s="4" t="inlineStr">
        <is>
          <t>Dipirona Sódica</t>
        </is>
      </c>
      <c r="D3" s="4" t="inlineStr">
        <is>
          <t>Comprimido</t>
        </is>
      </c>
      <c r="E3" s="3" t="inlineStr">
        <is>
          <t>Analgésico</t>
        </is>
      </c>
      <c r="F3" s="3" t="inlineStr">
        <is>
          <t>L2601A</t>
        </is>
      </c>
      <c r="G3" s="5" t="inlineStr">
        <is>
          <t>20/08/2026</t>
        </is>
      </c>
      <c r="H3" s="6" t="n">
        <v>500</v>
      </c>
      <c r="I3" s="3">
        <f>H3+SUMIFS(Movimentações!$F$2:$F$11,Movimentações!$C$2:$C$11,A3,Movimentações!$B$2:$B$11,"Entrada")-SUMIFS(Movimentações!$F$2:$F$11,Movimentações!$C$2:$C$11,A3,Movimentações!$B$2:$B$11,"Saída")-SUMIFS(Movimentações!$F$2:$F$11,Movimentações!$C$2:$C$11,A3,Movimentações!$B$2:$B$11,"Perda")+SUMIFS(Movimentações!$F$2:$F$11,Movimentações!$C$2:$C$11,A3,Movimentações!$B$2:$B$11,"Ajuste")</f>
        <v/>
      </c>
      <c r="J3" s="6" t="n">
        <v>100</v>
      </c>
      <c r="K3" s="6" t="n">
        <v>800</v>
      </c>
      <c r="L3" s="7" t="n">
        <v>0.35</v>
      </c>
      <c r="M3" s="7" t="n">
        <v>1.2</v>
      </c>
      <c r="N3" s="4" t="inlineStr">
        <is>
          <t>Farmacêutica Brasil Ltda</t>
        </is>
      </c>
      <c r="O3" s="3" t="inlineStr">
        <is>
          <t>12.345.678/0001-90</t>
        </is>
      </c>
      <c r="P3" s="4" t="inlineStr">
        <is>
          <t>São Paulo</t>
        </is>
      </c>
      <c r="Q3" s="8">
        <f>IF(I3&lt;=J3,"Atenção","OK")</f>
        <v/>
      </c>
      <c r="R3" s="9">
        <f>IFERROR((M3-L3)/L3,0)</f>
        <v/>
      </c>
      <c r="S3" s="8">
        <f>IF(G3-TODAY()&lt;=90,"Vence em até 90 dias","")</f>
        <v/>
      </c>
    </row>
    <row r="4">
      <c r="A4" s="10" t="inlineStr">
        <is>
          <t>MED002</t>
        </is>
      </c>
      <c r="B4" s="11" t="inlineStr">
        <is>
          <t>Paracetamol 750mg</t>
        </is>
      </c>
      <c r="C4" s="11" t="inlineStr">
        <is>
          <t>Paracetamol</t>
        </is>
      </c>
      <c r="D4" s="11" t="inlineStr">
        <is>
          <t>Comprimido</t>
        </is>
      </c>
      <c r="E4" s="10" t="inlineStr">
        <is>
          <t>Analgésico</t>
        </is>
      </c>
      <c r="F4" s="10" t="inlineStr">
        <is>
          <t>L2602B</t>
        </is>
      </c>
      <c r="G4" s="12" t="inlineStr">
        <is>
          <t>10/12/2027</t>
        </is>
      </c>
      <c r="H4" s="6" t="n">
        <v>600</v>
      </c>
      <c r="I4" s="10">
        <f>H4+SUMIFS(Movimentações!$F$2:$F$11,Movimentações!$C$2:$C$11,A4,Movimentações!$B$2:$B$11,"Entrada")-SUMIFS(Movimentações!$F$2:$F$11,Movimentações!$C$2:$C$11,A4,Movimentações!$B$2:$B$11,"Saída")-SUMIFS(Movimentações!$F$2:$F$11,Movimentações!$C$2:$C$11,A4,Movimentações!$B$2:$B$11,"Perda")+SUMIFS(Movimentações!$F$2:$F$11,Movimentações!$C$2:$C$11,A4,Movimentações!$B$2:$B$11,"Ajuste")</f>
        <v/>
      </c>
      <c r="J4" s="6" t="n">
        <v>150</v>
      </c>
      <c r="K4" s="6" t="n">
        <v>1000</v>
      </c>
      <c r="L4" s="7" t="n">
        <v>0.28</v>
      </c>
      <c r="M4" s="7" t="n">
        <v>0.95</v>
      </c>
      <c r="N4" s="11" t="inlineStr">
        <is>
          <t>União Farma Distribuidora</t>
        </is>
      </c>
      <c r="O4" s="10" t="inlineStr">
        <is>
          <t>23.456.789/0001-01</t>
        </is>
      </c>
      <c r="P4" s="11" t="inlineStr">
        <is>
          <t>Campinas</t>
        </is>
      </c>
      <c r="Q4" s="13">
        <f>IF(I4&lt;=J4,"Atenção","OK")</f>
        <v/>
      </c>
      <c r="R4" s="14">
        <f>IFERROR((M4-L4)/L4,0)</f>
        <v/>
      </c>
      <c r="S4" s="13">
        <f>IF(G4-TODAY()&lt;=90,"Vence em até 90 dias","")</f>
        <v/>
      </c>
    </row>
    <row r="5">
      <c r="A5" s="3" t="inlineStr">
        <is>
          <t>MED003</t>
        </is>
      </c>
      <c r="B5" s="4" t="inlineStr">
        <is>
          <t>Amoxicilina 500mg</t>
        </is>
      </c>
      <c r="C5" s="4" t="inlineStr">
        <is>
          <t>Amoxicilina</t>
        </is>
      </c>
      <c r="D5" s="4" t="inlineStr">
        <is>
          <t>Cápsula</t>
        </is>
      </c>
      <c r="E5" s="3" t="inlineStr">
        <is>
          <t>Antibiótico</t>
        </is>
      </c>
      <c r="F5" s="3" t="inlineStr">
        <is>
          <t>L2603C</t>
        </is>
      </c>
      <c r="G5" s="5" t="inlineStr">
        <is>
          <t>05/01/2027</t>
        </is>
      </c>
      <c r="H5" s="6" t="n">
        <v>400</v>
      </c>
      <c r="I5" s="3">
        <f>H5+SUMIFS(Movimentações!$F$2:$F$11,Movimentações!$C$2:$C$11,A5,Movimentações!$B$2:$B$11,"Entrada")-SUMIFS(Movimentações!$F$2:$F$11,Movimentações!$C$2:$C$11,A5,Movimentações!$B$2:$B$11,"Saída")-SUMIFS(Movimentações!$F$2:$F$11,Movimentações!$C$2:$C$11,A5,Movimentações!$B$2:$B$11,"Perda")+SUMIFS(Movimentações!$F$2:$F$11,Movimentações!$C$2:$C$11,A5,Movimentações!$B$2:$B$11,"Ajuste")</f>
        <v/>
      </c>
      <c r="J5" s="6" t="n">
        <v>120</v>
      </c>
      <c r="K5" s="6" t="n">
        <v>900</v>
      </c>
      <c r="L5" s="7" t="n">
        <v>0.55</v>
      </c>
      <c r="M5" s="7" t="n">
        <v>1.85</v>
      </c>
      <c r="N5" s="4" t="inlineStr">
        <is>
          <t>Farmavida Distribuição Ltda</t>
        </is>
      </c>
      <c r="O5" s="3" t="inlineStr">
        <is>
          <t>34.567.890/0001-12</t>
        </is>
      </c>
      <c r="P5" s="4" t="inlineStr">
        <is>
          <t>Curitiba</t>
        </is>
      </c>
      <c r="Q5" s="8">
        <f>IF(I5&lt;=J5,"Atenção","OK")</f>
        <v/>
      </c>
      <c r="R5" s="9">
        <f>IFERROR((M5-L5)/L5,0)</f>
        <v/>
      </c>
      <c r="S5" s="8">
        <f>IF(G5-TODAY()&lt;=90,"Vence em até 90 dias","")</f>
        <v/>
      </c>
    </row>
    <row r="6">
      <c r="A6" s="10" t="inlineStr">
        <is>
          <t>MED004</t>
        </is>
      </c>
      <c r="B6" s="11" t="inlineStr">
        <is>
          <t>Omeprazol 20mg</t>
        </is>
      </c>
      <c r="C6" s="11" t="inlineStr">
        <is>
          <t>Omeprazol</t>
        </is>
      </c>
      <c r="D6" s="11" t="inlineStr">
        <is>
          <t>Cápsula</t>
        </is>
      </c>
      <c r="E6" s="10" t="inlineStr">
        <is>
          <t>Antiulceroso</t>
        </is>
      </c>
      <c r="F6" s="10" t="inlineStr">
        <is>
          <t>L2604D</t>
        </is>
      </c>
      <c r="G6" s="12" t="inlineStr">
        <is>
          <t>22/11/2027</t>
        </is>
      </c>
      <c r="H6" s="6" t="n">
        <v>40</v>
      </c>
      <c r="I6" s="10">
        <f>H6+SUMIFS(Movimentações!$F$2:$F$11,Movimentações!$C$2:$C$11,A6,Movimentações!$B$2:$B$11,"Entrada")-SUMIFS(Movimentações!$F$2:$F$11,Movimentações!$C$2:$C$11,A6,Movimentações!$B$2:$B$11,"Saída")-SUMIFS(Movimentações!$F$2:$F$11,Movimentações!$C$2:$C$11,A6,Movimentações!$B$2:$B$11,"Perda")+SUMIFS(Movimentações!$F$2:$F$11,Movimentações!$C$2:$C$11,A6,Movimentações!$B$2:$B$11,"Ajuste")</f>
        <v/>
      </c>
      <c r="J6" s="6" t="n">
        <v>50</v>
      </c>
      <c r="K6" s="6" t="n">
        <v>500</v>
      </c>
      <c r="L6" s="7" t="n">
        <v>0.42</v>
      </c>
      <c r="M6" s="7" t="n">
        <v>1.1</v>
      </c>
      <c r="N6" s="11" t="inlineStr">
        <is>
          <t>MedSupply Comércio Ltda</t>
        </is>
      </c>
      <c r="O6" s="10" t="inlineStr">
        <is>
          <t>45.678.901/0001-23</t>
        </is>
      </c>
      <c r="P6" s="11" t="inlineStr">
        <is>
          <t>Recife</t>
        </is>
      </c>
      <c r="Q6" s="13">
        <f>IF(I6&lt;=J6,"Atenção","OK")</f>
        <v/>
      </c>
      <c r="R6" s="14">
        <f>IFERROR((M6-L6)/L6,0)</f>
        <v/>
      </c>
      <c r="S6" s="13">
        <f>IF(G6-TODAY()&lt;=90,"Vence em até 90 dias","")</f>
        <v/>
      </c>
    </row>
    <row r="7">
      <c r="A7" s="3" t="inlineStr">
        <is>
          <t>MED005</t>
        </is>
      </c>
      <c r="B7" s="4" t="inlineStr">
        <is>
          <t>Losartana Potássica 50mg</t>
        </is>
      </c>
      <c r="C7" s="4" t="inlineStr">
        <is>
          <t>Losartana Potássica</t>
        </is>
      </c>
      <c r="D7" s="4" t="inlineStr">
        <is>
          <t>Comprimido</t>
        </is>
      </c>
      <c r="E7" s="3" t="inlineStr">
        <is>
          <t>Anti-hipertensivo</t>
        </is>
      </c>
      <c r="F7" s="3" t="inlineStr">
        <is>
          <t>L2605E</t>
        </is>
      </c>
      <c r="G7" s="5" t="inlineStr">
        <is>
          <t>18/09/2026</t>
        </is>
      </c>
      <c r="H7" s="6" t="n">
        <v>350</v>
      </c>
      <c r="I7" s="3">
        <f>H7+SUMIFS(Movimentações!$F$2:$F$11,Movimentações!$C$2:$C$11,A7,Movimentações!$B$2:$B$11,"Entrada")-SUMIFS(Movimentações!$F$2:$F$11,Movimentações!$C$2:$C$11,A7,Movimentações!$B$2:$B$11,"Saída")-SUMIFS(Movimentações!$F$2:$F$11,Movimentações!$C$2:$C$11,A7,Movimentações!$B$2:$B$11,"Perda")+SUMIFS(Movimentações!$F$2:$F$11,Movimentações!$C$2:$C$11,A7,Movimentações!$B$2:$B$11,"Ajuste")</f>
        <v/>
      </c>
      <c r="J7" s="6" t="n">
        <v>100</v>
      </c>
      <c r="K7" s="6" t="n">
        <v>700</v>
      </c>
      <c r="L7" s="7" t="n">
        <v>0.3</v>
      </c>
      <c r="M7" s="7" t="n">
        <v>0.99</v>
      </c>
      <c r="N7" s="4" t="inlineStr">
        <is>
          <t>Farmacêutica Brasil Ltda</t>
        </is>
      </c>
      <c r="O7" s="3" t="inlineStr">
        <is>
          <t>12.345.678/0001-90</t>
        </is>
      </c>
      <c r="P7" s="4" t="inlineStr">
        <is>
          <t>São Paulo</t>
        </is>
      </c>
      <c r="Q7" s="8">
        <f>IF(I7&lt;=J7,"Atenção","OK")</f>
        <v/>
      </c>
      <c r="R7" s="9">
        <f>IFERROR((M7-L7)/L7,0)</f>
        <v/>
      </c>
      <c r="S7" s="8">
        <f>IF(G7-TODAY()&lt;=90,"Vence em até 90 dias","")</f>
        <v/>
      </c>
    </row>
    <row r="8">
      <c r="A8" s="10" t="inlineStr">
        <is>
          <t>MED006</t>
        </is>
      </c>
      <c r="B8" s="11" t="inlineStr">
        <is>
          <t>Ibuprofeno 600mg</t>
        </is>
      </c>
      <c r="C8" s="11" t="inlineStr">
        <is>
          <t>Ibuprofeno</t>
        </is>
      </c>
      <c r="D8" s="11" t="inlineStr">
        <is>
          <t>Comprimido</t>
        </is>
      </c>
      <c r="E8" s="10" t="inlineStr">
        <is>
          <t>Anti-inflamatório</t>
        </is>
      </c>
      <c r="F8" s="10" t="inlineStr">
        <is>
          <t>L2606F</t>
        </is>
      </c>
      <c r="G8" s="12" t="inlineStr">
        <is>
          <t>30/06/2027</t>
        </is>
      </c>
      <c r="H8" s="6" t="n">
        <v>280</v>
      </c>
      <c r="I8" s="10">
        <f>H8+SUMIFS(Movimentações!$F$2:$F$11,Movimentações!$C$2:$C$11,A8,Movimentações!$B$2:$B$11,"Entrada")-SUMIFS(Movimentações!$F$2:$F$11,Movimentações!$C$2:$C$11,A8,Movimentações!$B$2:$B$11,"Saída")-SUMIFS(Movimentações!$F$2:$F$11,Movimentações!$C$2:$C$11,A8,Movimentações!$B$2:$B$11,"Perda")+SUMIFS(Movimentações!$F$2:$F$11,Movimentações!$C$2:$C$11,A8,Movimentações!$B$2:$B$11,"Ajuste")</f>
        <v/>
      </c>
      <c r="J8" s="6" t="n">
        <v>100</v>
      </c>
      <c r="K8" s="6" t="n">
        <v>600</v>
      </c>
      <c r="L8" s="7" t="n">
        <v>0.45</v>
      </c>
      <c r="M8" s="7" t="n">
        <v>1.35</v>
      </c>
      <c r="N8" s="11" t="inlineStr">
        <is>
          <t>União Farma Distribuidora</t>
        </is>
      </c>
      <c r="O8" s="10" t="inlineStr">
        <is>
          <t>23.456.789/0001-01</t>
        </is>
      </c>
      <c r="P8" s="11" t="inlineStr">
        <is>
          <t>Campinas</t>
        </is>
      </c>
      <c r="Q8" s="13">
        <f>IF(I8&lt;=J8,"Atenção","OK")</f>
        <v/>
      </c>
      <c r="R8" s="14">
        <f>IFERROR((M8-L8)/L8,0)</f>
        <v/>
      </c>
      <c r="S8" s="13">
        <f>IF(G8-TODAY()&lt;=90,"Vence em até 90 dias","")</f>
        <v/>
      </c>
    </row>
    <row r="9">
      <c r="A9" s="3" t="inlineStr">
        <is>
          <t>MED007</t>
        </is>
      </c>
      <c r="B9" s="4" t="inlineStr">
        <is>
          <t>Metformina 850mg</t>
        </is>
      </c>
      <c r="C9" s="4" t="inlineStr">
        <is>
          <t>Cloridrato de Metformina</t>
        </is>
      </c>
      <c r="D9" s="4" t="inlineStr">
        <is>
          <t>Comprimido</t>
        </is>
      </c>
      <c r="E9" s="3" t="inlineStr">
        <is>
          <t>Antidiabético</t>
        </is>
      </c>
      <c r="F9" s="3" t="inlineStr">
        <is>
          <t>L2607G</t>
        </is>
      </c>
      <c r="G9" s="5" t="inlineStr">
        <is>
          <t>14/02/2027</t>
        </is>
      </c>
      <c r="H9" s="6" t="n">
        <v>320</v>
      </c>
      <c r="I9" s="3">
        <f>H9+SUMIFS(Movimentações!$F$2:$F$11,Movimentações!$C$2:$C$11,A9,Movimentações!$B$2:$B$11,"Entrada")-SUMIFS(Movimentações!$F$2:$F$11,Movimentações!$C$2:$C$11,A9,Movimentações!$B$2:$B$11,"Saída")-SUMIFS(Movimentações!$F$2:$F$11,Movimentações!$C$2:$C$11,A9,Movimentações!$B$2:$B$11,"Perda")+SUMIFS(Movimentações!$F$2:$F$11,Movimentações!$C$2:$C$11,A9,Movimentações!$B$2:$B$11,"Ajuste")</f>
        <v/>
      </c>
      <c r="J9" s="6" t="n">
        <v>100</v>
      </c>
      <c r="K9" s="6" t="n">
        <v>650</v>
      </c>
      <c r="L9" s="7" t="n">
        <v>0.38</v>
      </c>
      <c r="M9" s="7" t="n">
        <v>1.05</v>
      </c>
      <c r="N9" s="4" t="inlineStr">
        <is>
          <t>Farmavida Distribuição Ltda</t>
        </is>
      </c>
      <c r="O9" s="3" t="inlineStr">
        <is>
          <t>34.567.890/0001-12</t>
        </is>
      </c>
      <c r="P9" s="4" t="inlineStr">
        <is>
          <t>Curitiba</t>
        </is>
      </c>
      <c r="Q9" s="8">
        <f>IF(I9&lt;=J9,"Atenção","OK")</f>
        <v/>
      </c>
      <c r="R9" s="9">
        <f>IFERROR((M9-L9)/L9,0)</f>
        <v/>
      </c>
      <c r="S9" s="8">
        <f>IF(G9-TODAY()&lt;=90,"Vence em até 90 dias","")</f>
        <v/>
      </c>
    </row>
    <row r="10">
      <c r="A10" s="10" t="inlineStr">
        <is>
          <t>MED008</t>
        </is>
      </c>
      <c r="B10" s="11" t="inlineStr">
        <is>
          <t>Diclofenaco Sódico 50mg</t>
        </is>
      </c>
      <c r="C10" s="11" t="inlineStr">
        <is>
          <t>Diclofenaco Sódico</t>
        </is>
      </c>
      <c r="D10" s="11" t="inlineStr">
        <is>
          <t>Comprimido</t>
        </is>
      </c>
      <c r="E10" s="10" t="inlineStr">
        <is>
          <t>Anti-inflamatório</t>
        </is>
      </c>
      <c r="F10" s="10" t="inlineStr">
        <is>
          <t>L2608H</t>
        </is>
      </c>
      <c r="G10" s="12" t="inlineStr">
        <is>
          <t>12/05/2027</t>
        </is>
      </c>
      <c r="H10" s="6" t="n">
        <v>200</v>
      </c>
      <c r="I10" s="10">
        <f>H10+SUMIFS(Movimentações!$F$2:$F$11,Movimentações!$C$2:$C$11,A10,Movimentações!$B$2:$B$11,"Entrada")-SUMIFS(Movimentações!$F$2:$F$11,Movimentações!$C$2:$C$11,A10,Movimentações!$B$2:$B$11,"Saída")-SUMIFS(Movimentações!$F$2:$F$11,Movimentações!$C$2:$C$11,A10,Movimentações!$B$2:$B$11,"Perda")+SUMIFS(Movimentações!$F$2:$F$11,Movimentações!$C$2:$C$11,A10,Movimentações!$B$2:$B$11,"Ajuste")</f>
        <v/>
      </c>
      <c r="J10" s="6" t="n">
        <v>80</v>
      </c>
      <c r="K10" s="6" t="n">
        <v>500</v>
      </c>
      <c r="L10" s="7" t="n">
        <v>2.5</v>
      </c>
      <c r="M10" s="7" t="n">
        <v>2.3</v>
      </c>
      <c r="N10" s="11" t="inlineStr">
        <is>
          <t>MedSupply Comércio Ltda</t>
        </is>
      </c>
      <c r="O10" s="10" t="inlineStr">
        <is>
          <t>45.678.901/0001-23</t>
        </is>
      </c>
      <c r="P10" s="11" t="inlineStr">
        <is>
          <t>Recife</t>
        </is>
      </c>
      <c r="Q10" s="13">
        <f>IF(I10&lt;=J10,"Atenção","OK")</f>
        <v/>
      </c>
      <c r="R10" s="14">
        <f>IFERROR((M10-L10)/L10,0)</f>
        <v/>
      </c>
      <c r="S10" s="13">
        <f>IF(G10-TODAY()&lt;=90,"Vence em até 90 dias","")</f>
        <v/>
      </c>
    </row>
    <row r="11">
      <c r="A11" s="3" t="inlineStr">
        <is>
          <t>MED009</t>
        </is>
      </c>
      <c r="B11" s="4" t="inlineStr">
        <is>
          <t>Soro Fisiológico 0,9% 500ml</t>
        </is>
      </c>
      <c r="C11" s="4" t="inlineStr">
        <is>
          <t>Cloreto de Sódio</t>
        </is>
      </c>
      <c r="D11" s="4" t="inlineStr">
        <is>
          <t>Solução Injetável</t>
        </is>
      </c>
      <c r="E11" s="3" t="inlineStr">
        <is>
          <t>Solução Injetável</t>
        </is>
      </c>
      <c r="F11" s="3" t="inlineStr">
        <is>
          <t>L2609I</t>
        </is>
      </c>
      <c r="G11" s="5" t="inlineStr">
        <is>
          <t>28/02/2028</t>
        </is>
      </c>
      <c r="H11" s="6" t="n">
        <v>20</v>
      </c>
      <c r="I11" s="3">
        <f>H11+SUMIFS(Movimentações!$F$2:$F$11,Movimentações!$C$2:$C$11,A11,Movimentações!$B$2:$B$11,"Entrada")-SUMIFS(Movimentações!$F$2:$F$11,Movimentações!$C$2:$C$11,A11,Movimentações!$B$2:$B$11,"Saída")-SUMIFS(Movimentações!$F$2:$F$11,Movimentações!$C$2:$C$11,A11,Movimentações!$B$2:$B$11,"Perda")+SUMIFS(Movimentações!$F$2:$F$11,Movimentações!$C$2:$C$11,A11,Movimentações!$B$2:$B$11,"Ajuste")</f>
        <v/>
      </c>
      <c r="J11" s="6" t="n">
        <v>30</v>
      </c>
      <c r="K11" s="6" t="n">
        <v>400</v>
      </c>
      <c r="L11" s="7" t="n">
        <v>3.2</v>
      </c>
      <c r="M11" s="7" t="n">
        <v>6.5</v>
      </c>
      <c r="N11" s="4" t="inlineStr">
        <is>
          <t>Hospitalar Insumos Ltda</t>
        </is>
      </c>
      <c r="O11" s="3" t="inlineStr">
        <is>
          <t>56.789.012/0001-34</t>
        </is>
      </c>
      <c r="P11" s="4" t="inlineStr">
        <is>
          <t>Belo Horizonte</t>
        </is>
      </c>
      <c r="Q11" s="8">
        <f>IF(I11&lt;=J11,"Atenção","OK")</f>
        <v/>
      </c>
      <c r="R11" s="9">
        <f>IFERROR((M11-L11)/L11,0)</f>
        <v/>
      </c>
      <c r="S11" s="8">
        <f>IF(G11-TODAY()&lt;=90,"Vence em até 90 dias","")</f>
        <v/>
      </c>
    </row>
    <row r="12">
      <c r="A12" s="10" t="inlineStr">
        <is>
          <t>MED010</t>
        </is>
      </c>
      <c r="B12" s="11" t="inlineStr">
        <is>
          <t>Loratadina 10mg</t>
        </is>
      </c>
      <c r="C12" s="11" t="inlineStr">
        <is>
          <t>Loratadina</t>
        </is>
      </c>
      <c r="D12" s="11" t="inlineStr">
        <is>
          <t>Comprimido</t>
        </is>
      </c>
      <c r="E12" s="10" t="inlineStr">
        <is>
          <t>Antialérgico</t>
        </is>
      </c>
      <c r="F12" s="10" t="inlineStr">
        <is>
          <t>L2610J</t>
        </is>
      </c>
      <c r="G12" s="12" t="inlineStr">
        <is>
          <t>12/03/2027</t>
        </is>
      </c>
      <c r="H12" s="6" t="n">
        <v>260</v>
      </c>
      <c r="I12" s="10">
        <f>H12+SUMIFS(Movimentações!$F$2:$F$11,Movimentações!$C$2:$C$11,A12,Movimentações!$B$2:$B$11,"Entrada")-SUMIFS(Movimentações!$F$2:$F$11,Movimentações!$C$2:$C$11,A12,Movimentações!$B$2:$B$11,"Saída")-SUMIFS(Movimentações!$F$2:$F$11,Movimentações!$C$2:$C$11,A12,Movimentações!$B$2:$B$11,"Perda")+SUMIFS(Movimentações!$F$2:$F$11,Movimentações!$C$2:$C$11,A12,Movimentações!$B$2:$B$11,"Ajuste")</f>
        <v/>
      </c>
      <c r="J12" s="6" t="n">
        <v>80</v>
      </c>
      <c r="K12" s="6" t="n">
        <v>500</v>
      </c>
      <c r="L12" s="7" t="n">
        <v>0.33</v>
      </c>
      <c r="M12" s="7" t="n">
        <v>1.1</v>
      </c>
      <c r="N12" s="11" t="inlineStr">
        <is>
          <t>União Farma Distribuidora</t>
        </is>
      </c>
      <c r="O12" s="10" t="inlineStr">
        <is>
          <t>23.456.789/0001-01</t>
        </is>
      </c>
      <c r="P12" s="11" t="inlineStr">
        <is>
          <t>Campinas</t>
        </is>
      </c>
      <c r="Q12" s="13">
        <f>IF(I12&lt;=J12,"Atenção","OK")</f>
        <v/>
      </c>
      <c r="R12" s="14">
        <f>IFERROR((M12-L12)/L12,0)</f>
        <v/>
      </c>
      <c r="S12" s="13">
        <f>IF(G12-TODAY()&lt;=90,"Vence em até 90 dias","")</f>
        <v/>
      </c>
    </row>
  </sheetData>
  <mergeCells count="1">
    <mergeCell ref="A1:S1"/>
  </mergeCells>
  <conditionalFormatting sqref="Q3:Q12">
    <cfRule type="expression" priority="1" dxfId="0" stopIfTrue="1">
      <formula>Q3="Atenção"</formula>
    </cfRule>
    <cfRule type="expression" priority="2" dxfId="1" stopIfTrue="1">
      <formula>Q3="OK"</formula>
    </cfRule>
  </conditionalFormatting>
  <conditionalFormatting sqref="S3:S12">
    <cfRule type="expression" priority="3" dxfId="2" stopIfTrue="1">
      <formula>S3&lt;&gt;""</formula>
    </cfRule>
  </conditionalFormatting>
  <conditionalFormatting sqref="R3:R12">
    <cfRule type="expression" priority="4" dxfId="0" stopIfTrue="1">
      <formula>R3&lt;0.1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0" customWidth="1" min="3" max="3"/>
    <col width="22" customWidth="1" min="4" max="4"/>
    <col width="12" customWidth="1" min="5" max="5"/>
    <col width="11" customWidth="1" min="6" max="6"/>
    <col width="10" customWidth="1" min="7" max="7"/>
    <col width="18" customWidth="1" min="8" max="8"/>
    <col width="12" customWidth="1" min="9" max="9"/>
    <col width="26" customWidth="1" min="10" max="10"/>
    <col width="18" customWidth="1" min="11" max="11"/>
    <col width="24" customWidth="1" min="12" max="12"/>
    <col width="18" customWidth="1" min="13" max="13"/>
    <col width="20" customWidth="1" min="14" max="14"/>
    <col width="16" customWidth="1" min="15" max="15"/>
    <col width="16" customWidth="1" min="16" max="16"/>
  </cols>
  <sheetData>
    <row r="1" ht="26" customHeight="1">
      <c r="A1" s="1" t="inlineStr">
        <is>
          <t>MOVIMENTAÇÕES DE ESTOQUE - ENTRADAS, SAÍDAS, PERDAS E AJUSTES</t>
        </is>
      </c>
    </row>
    <row r="2">
      <c r="A2" s="2" t="inlineStr">
        <is>
          <t>Data</t>
        </is>
      </c>
      <c r="B2" s="2" t="inlineStr">
        <is>
          <t>Tipo de Movimentação</t>
        </is>
      </c>
      <c r="C2" s="2" t="inlineStr">
        <is>
          <t>Código do Medicamento</t>
        </is>
      </c>
      <c r="D2" s="2" t="inlineStr">
        <is>
          <t>Medicamento</t>
        </is>
      </c>
      <c r="E2" s="2" t="inlineStr">
        <is>
          <t>Lote</t>
        </is>
      </c>
      <c r="F2" s="2" t="inlineStr">
        <is>
          <t>Quantidade</t>
        </is>
      </c>
      <c r="G2" s="2" t="inlineStr">
        <is>
          <t>Unidade</t>
        </is>
      </c>
      <c r="H2" s="2" t="inlineStr">
        <is>
          <t>Documento Fiscal</t>
        </is>
      </c>
      <c r="I2" s="2" t="inlineStr">
        <is>
          <t>Nº NF-e</t>
        </is>
      </c>
      <c r="J2" s="2" t="inlineStr">
        <is>
          <t>Fornecedor / Destino</t>
        </is>
      </c>
      <c r="K2" s="2" t="inlineStr">
        <is>
          <t>Centro de Custo</t>
        </is>
      </c>
      <c r="L2" s="2" t="inlineStr">
        <is>
          <t>Motivo</t>
        </is>
      </c>
      <c r="M2" s="2" t="inlineStr">
        <is>
          <t>Usuário</t>
        </is>
      </c>
      <c r="N2" s="2" t="inlineStr">
        <is>
          <t>CNPJ Relacionado</t>
        </is>
      </c>
      <c r="O2" s="2" t="inlineStr">
        <is>
          <t>Valor Unitário (R$)</t>
        </is>
      </c>
      <c r="P2" s="2" t="inlineStr">
        <is>
          <t>Valor Total (R$)</t>
        </is>
      </c>
    </row>
    <row r="3">
      <c r="A3" s="15" t="inlineStr">
        <is>
          <t>10/01/2026</t>
        </is>
      </c>
      <c r="B3" s="6" t="inlineStr">
        <is>
          <t>Entrada</t>
        </is>
      </c>
      <c r="C3" s="6" t="inlineStr">
        <is>
          <t>MED001</t>
        </is>
      </c>
      <c r="D3" s="3">
        <f>IFERROR(VLOOKUP(C3,Cadastro_Medicamentos!$A:$B,2,FALSE),"")</f>
        <v/>
      </c>
      <c r="E3" s="6" t="inlineStr">
        <is>
          <t>L2601A</t>
        </is>
      </c>
      <c r="F3" s="6" t="n">
        <v>200</v>
      </c>
      <c r="G3" s="6" t="inlineStr">
        <is>
          <t>Caixa</t>
        </is>
      </c>
      <c r="H3" s="3" t="inlineStr">
        <is>
          <t>NF-e</t>
        </is>
      </c>
      <c r="I3" s="3" t="inlineStr">
        <is>
          <t>000123</t>
        </is>
      </c>
      <c r="J3" s="4" t="inlineStr">
        <is>
          <t>Farmacêutica Brasil Ltda</t>
        </is>
      </c>
      <c r="K3" s="6" t="inlineStr">
        <is>
          <t>Farmácia Central</t>
        </is>
      </c>
      <c r="L3" s="16" t="inlineStr">
        <is>
          <t>Reposição de estoque</t>
        </is>
      </c>
      <c r="M3" s="16" t="inlineStr">
        <is>
          <t>João Silva</t>
        </is>
      </c>
      <c r="N3" s="3" t="inlineStr">
        <is>
          <t>12.345.678/0001-90</t>
        </is>
      </c>
      <c r="O3" s="7" t="n">
        <v>0.35</v>
      </c>
      <c r="P3" s="17">
        <f>IFERROR(F3*O3,0)</f>
        <v/>
      </c>
    </row>
    <row r="4">
      <c r="A4" s="15" t="inlineStr">
        <is>
          <t>15/02/2026</t>
        </is>
      </c>
      <c r="B4" s="6" t="inlineStr">
        <is>
          <t>Saída</t>
        </is>
      </c>
      <c r="C4" s="6" t="inlineStr">
        <is>
          <t>MED001</t>
        </is>
      </c>
      <c r="D4" s="10">
        <f>IFERROR(VLOOKUP(C4,Cadastro_Medicamentos!$A:$B,2,FALSE),"")</f>
        <v/>
      </c>
      <c r="E4" s="6" t="inlineStr">
        <is>
          <t>L2601A</t>
        </is>
      </c>
      <c r="F4" s="6" t="n">
        <v>80</v>
      </c>
      <c r="G4" s="6" t="inlineStr">
        <is>
          <t>Caixa</t>
        </is>
      </c>
      <c r="H4" s="10" t="inlineStr">
        <is>
          <t>Requisição</t>
        </is>
      </c>
      <c r="I4" s="10" t="inlineStr">
        <is>
          <t>000045</t>
        </is>
      </c>
      <c r="J4" s="11" t="inlineStr">
        <is>
          <t>Ambulatório Central</t>
        </is>
      </c>
      <c r="K4" s="6" t="inlineStr">
        <is>
          <t>Ambulatório</t>
        </is>
      </c>
      <c r="L4" s="16" t="inlineStr">
        <is>
          <t>Dispensação a pacientes</t>
        </is>
      </c>
      <c r="M4" s="16" t="inlineStr">
        <is>
          <t>Maria Oliveira</t>
        </is>
      </c>
      <c r="N4" s="10" t="inlineStr">
        <is>
          <t>12.345.678/0001-90</t>
        </is>
      </c>
      <c r="O4" s="7" t="n">
        <v>1.2</v>
      </c>
      <c r="P4" s="18">
        <f>IFERROR(F4*O4,0)</f>
        <v/>
      </c>
    </row>
    <row r="5">
      <c r="A5" s="15" t="inlineStr">
        <is>
          <t>20/03/2026</t>
        </is>
      </c>
      <c r="B5" s="6" t="inlineStr">
        <is>
          <t>Perda</t>
        </is>
      </c>
      <c r="C5" s="6" t="inlineStr">
        <is>
          <t>MED001</t>
        </is>
      </c>
      <c r="D5" s="3">
        <f>IFERROR(VLOOKUP(C5,Cadastro_Medicamentos!$A:$B,2,FALSE),"")</f>
        <v/>
      </c>
      <c r="E5" s="6" t="inlineStr">
        <is>
          <t>L2601A</t>
        </is>
      </c>
      <c r="F5" s="6" t="n">
        <v>10</v>
      </c>
      <c r="G5" s="6" t="inlineStr">
        <is>
          <t>Caixa</t>
        </is>
      </c>
      <c r="H5" s="3" t="inlineStr">
        <is>
          <t>Termo de Descarte</t>
        </is>
      </c>
      <c r="I5" s="3" t="inlineStr">
        <is>
          <t>000012</t>
        </is>
      </c>
      <c r="J5" s="4" t="inlineStr">
        <is>
          <t>Descarte</t>
        </is>
      </c>
      <c r="K5" s="6" t="inlineStr">
        <is>
          <t>Farmácia Central</t>
        </is>
      </c>
      <c r="L5" s="16" t="inlineStr">
        <is>
          <t>Quebra de embalagem</t>
        </is>
      </c>
      <c r="M5" s="16" t="inlineStr">
        <is>
          <t>Pedro Santos</t>
        </is>
      </c>
      <c r="N5" s="3" t="inlineStr">
        <is>
          <t>12.345.678/0001-90</t>
        </is>
      </c>
      <c r="O5" s="7" t="n">
        <v>1.2</v>
      </c>
      <c r="P5" s="17">
        <f>IFERROR(F5*O5,0)</f>
        <v/>
      </c>
    </row>
    <row r="6">
      <c r="A6" s="15" t="inlineStr">
        <is>
          <t>05/02/2026</t>
        </is>
      </c>
      <c r="B6" s="6" t="inlineStr">
        <is>
          <t>Entrada</t>
        </is>
      </c>
      <c r="C6" s="6" t="inlineStr">
        <is>
          <t>MED002</t>
        </is>
      </c>
      <c r="D6" s="10">
        <f>IFERROR(VLOOKUP(C6,Cadastro_Medicamentos!$A:$B,2,FALSE),"")</f>
        <v/>
      </c>
      <c r="E6" s="6" t="inlineStr">
        <is>
          <t>L2602B</t>
        </is>
      </c>
      <c r="F6" s="6" t="n">
        <v>300</v>
      </c>
      <c r="G6" s="6" t="inlineStr">
        <is>
          <t>Caixa</t>
        </is>
      </c>
      <c r="H6" s="10" t="inlineStr">
        <is>
          <t>NF-e</t>
        </is>
      </c>
      <c r="I6" s="10" t="inlineStr">
        <is>
          <t>000234</t>
        </is>
      </c>
      <c r="J6" s="11" t="inlineStr">
        <is>
          <t>União Farma Distribuidora</t>
        </is>
      </c>
      <c r="K6" s="6" t="inlineStr">
        <is>
          <t>Farmácia Central</t>
        </is>
      </c>
      <c r="L6" s="16" t="inlineStr">
        <is>
          <t>Reposição de estoque</t>
        </is>
      </c>
      <c r="M6" s="16" t="inlineStr">
        <is>
          <t>Ana Souza</t>
        </is>
      </c>
      <c r="N6" s="10" t="inlineStr">
        <is>
          <t>23.456.789/0001-01</t>
        </is>
      </c>
      <c r="O6" s="7" t="n">
        <v>0.28</v>
      </c>
      <c r="P6" s="18">
        <f>IFERROR(F6*O6,0)</f>
        <v/>
      </c>
    </row>
    <row r="7">
      <c r="A7" s="15" t="inlineStr">
        <is>
          <t>25/04/2026</t>
        </is>
      </c>
      <c r="B7" s="6" t="inlineStr">
        <is>
          <t>Saída</t>
        </is>
      </c>
      <c r="C7" s="6" t="inlineStr">
        <is>
          <t>MED002</t>
        </is>
      </c>
      <c r="D7" s="3">
        <f>IFERROR(VLOOKUP(C7,Cadastro_Medicamentos!$A:$B,2,FALSE),"")</f>
        <v/>
      </c>
      <c r="E7" s="6" t="inlineStr">
        <is>
          <t>L2602B</t>
        </is>
      </c>
      <c r="F7" s="6" t="n">
        <v>150</v>
      </c>
      <c r="G7" s="6" t="inlineStr">
        <is>
          <t>Caixa</t>
        </is>
      </c>
      <c r="H7" s="3" t="inlineStr">
        <is>
          <t>Requisição</t>
        </is>
      </c>
      <c r="I7" s="3" t="inlineStr">
        <is>
          <t>000078</t>
        </is>
      </c>
      <c r="J7" s="4" t="inlineStr">
        <is>
          <t>Pronto Atendimento</t>
        </is>
      </c>
      <c r="K7" s="6" t="inlineStr">
        <is>
          <t>Pronto Atendimento</t>
        </is>
      </c>
      <c r="L7" s="16" t="inlineStr">
        <is>
          <t>Dispensação a pacientes</t>
        </is>
      </c>
      <c r="M7" s="16" t="inlineStr">
        <is>
          <t>Carlos Pereira</t>
        </is>
      </c>
      <c r="N7" s="3" t="inlineStr">
        <is>
          <t>23.456.789/0001-01</t>
        </is>
      </c>
      <c r="O7" s="7" t="n">
        <v>0.95</v>
      </c>
      <c r="P7" s="17">
        <f>IFERROR(F7*O7,0)</f>
        <v/>
      </c>
    </row>
    <row r="8">
      <c r="A8" s="15" t="inlineStr">
        <is>
          <t>12/02/2026</t>
        </is>
      </c>
      <c r="B8" s="6" t="inlineStr">
        <is>
          <t>Entrada</t>
        </is>
      </c>
      <c r="C8" s="6" t="inlineStr">
        <is>
          <t>MED003</t>
        </is>
      </c>
      <c r="D8" s="10">
        <f>IFERROR(VLOOKUP(C8,Cadastro_Medicamentos!$A:$B,2,FALSE),"")</f>
        <v/>
      </c>
      <c r="E8" s="6" t="inlineStr">
        <is>
          <t>L2603C</t>
        </is>
      </c>
      <c r="F8" s="6" t="n">
        <v>250</v>
      </c>
      <c r="G8" s="6" t="inlineStr">
        <is>
          <t>Caixa</t>
        </is>
      </c>
      <c r="H8" s="10" t="inlineStr">
        <is>
          <t>NF-e</t>
        </is>
      </c>
      <c r="I8" s="10" t="inlineStr">
        <is>
          <t>000345</t>
        </is>
      </c>
      <c r="J8" s="11" t="inlineStr">
        <is>
          <t>Farmavida Distribuição Ltda</t>
        </is>
      </c>
      <c r="K8" s="6" t="inlineStr">
        <is>
          <t>Farmácia Central</t>
        </is>
      </c>
      <c r="L8" s="16" t="inlineStr">
        <is>
          <t>Reposição de estoque</t>
        </is>
      </c>
      <c r="M8" s="16" t="inlineStr">
        <is>
          <t>Juliana Costa</t>
        </is>
      </c>
      <c r="N8" s="10" t="inlineStr">
        <is>
          <t>34.567.890/0001-12</t>
        </is>
      </c>
      <c r="O8" s="7" t="n">
        <v>0.55</v>
      </c>
      <c r="P8" s="18">
        <f>IFERROR(F8*O8,0)</f>
        <v/>
      </c>
    </row>
    <row r="9">
      <c r="A9" s="15" t="inlineStr">
        <is>
          <t>18/05/2026</t>
        </is>
      </c>
      <c r="B9" s="6" t="inlineStr">
        <is>
          <t>Ajuste</t>
        </is>
      </c>
      <c r="C9" s="6" t="inlineStr">
        <is>
          <t>MED003</t>
        </is>
      </c>
      <c r="D9" s="3">
        <f>IFERROR(VLOOKUP(C9,Cadastro_Medicamentos!$A:$B,2,FALSE),"")</f>
        <v/>
      </c>
      <c r="E9" s="6" t="inlineStr">
        <is>
          <t>L2603C</t>
        </is>
      </c>
      <c r="F9" s="6" t="n">
        <v>-15</v>
      </c>
      <c r="G9" s="6" t="inlineStr">
        <is>
          <t>Caixa</t>
        </is>
      </c>
      <c r="H9" s="3" t="inlineStr">
        <is>
          <t>Balanço de Inventário</t>
        </is>
      </c>
      <c r="I9" s="3" t="inlineStr">
        <is>
          <t>000009</t>
        </is>
      </c>
      <c r="J9" s="4" t="inlineStr">
        <is>
          <t>Farmácia Central</t>
        </is>
      </c>
      <c r="K9" s="6" t="inlineStr">
        <is>
          <t>Farmácia Central</t>
        </is>
      </c>
      <c r="L9" s="16" t="inlineStr">
        <is>
          <t>Ajuste de inventário</t>
        </is>
      </c>
      <c r="M9" s="16" t="inlineStr">
        <is>
          <t>Rafael Almeida</t>
        </is>
      </c>
      <c r="N9" s="3" t="inlineStr">
        <is>
          <t>34.567.890/0001-12</t>
        </is>
      </c>
      <c r="O9" s="7" t="n">
        <v>0.55</v>
      </c>
      <c r="P9" s="17">
        <f>IFERROR(F9*O9,0)</f>
        <v/>
      </c>
    </row>
    <row r="10">
      <c r="A10" s="15" t="inlineStr">
        <is>
          <t>22/03/2026</t>
        </is>
      </c>
      <c r="B10" s="6" t="inlineStr">
        <is>
          <t>Saída</t>
        </is>
      </c>
      <c r="C10" s="6" t="inlineStr">
        <is>
          <t>MED005</t>
        </is>
      </c>
      <c r="D10" s="10">
        <f>IFERROR(VLOOKUP(C10,Cadastro_Medicamentos!$A:$B,2,FALSE),"")</f>
        <v/>
      </c>
      <c r="E10" s="6" t="inlineStr">
        <is>
          <t>L2605E</t>
        </is>
      </c>
      <c r="F10" s="6" t="n">
        <v>90</v>
      </c>
      <c r="G10" s="6" t="inlineStr">
        <is>
          <t>Caixa</t>
        </is>
      </c>
      <c r="H10" s="10" t="inlineStr">
        <is>
          <t>Requisição</t>
        </is>
      </c>
      <c r="I10" s="10" t="inlineStr">
        <is>
          <t>000091</t>
        </is>
      </c>
      <c r="J10" s="11" t="inlineStr">
        <is>
          <t>Clínica Geral</t>
        </is>
      </c>
      <c r="K10" s="6" t="inlineStr">
        <is>
          <t>Clínica Geral</t>
        </is>
      </c>
      <c r="L10" s="16" t="inlineStr">
        <is>
          <t>Dispensação a pacientes</t>
        </is>
      </c>
      <c r="M10" s="16" t="inlineStr">
        <is>
          <t>Camila Ferreira</t>
        </is>
      </c>
      <c r="N10" s="10" t="inlineStr">
        <is>
          <t>12.345.678/0001-90</t>
        </is>
      </c>
      <c r="O10" s="7" t="n">
        <v>0.99</v>
      </c>
      <c r="P10" s="18">
        <f>IFERROR(F10*O10,0)</f>
        <v/>
      </c>
    </row>
    <row r="11">
      <c r="A11" s="15" t="inlineStr">
        <is>
          <t>30/06/2026</t>
        </is>
      </c>
      <c r="B11" s="6" t="inlineStr">
        <is>
          <t>Saída</t>
        </is>
      </c>
      <c r="C11" s="6" t="inlineStr">
        <is>
          <t>MED006</t>
        </is>
      </c>
      <c r="D11" s="3">
        <f>IFERROR(VLOOKUP(C11,Cadastro_Medicamentos!$A:$B,2,FALSE),"")</f>
        <v/>
      </c>
      <c r="E11" s="6" t="inlineStr">
        <is>
          <t>L2606F</t>
        </is>
      </c>
      <c r="F11" s="6" t="n">
        <v>60</v>
      </c>
      <c r="G11" s="6" t="inlineStr">
        <is>
          <t>Caixa</t>
        </is>
      </c>
      <c r="H11" s="3" t="inlineStr">
        <is>
          <t>Requisição</t>
        </is>
      </c>
      <c r="I11" s="3" t="inlineStr">
        <is>
          <t>000102</t>
        </is>
      </c>
      <c r="J11" s="4" t="inlineStr">
        <is>
          <t>Ambulatório</t>
        </is>
      </c>
      <c r="K11" s="6" t="inlineStr">
        <is>
          <t>Ambulatório</t>
        </is>
      </c>
      <c r="L11" s="16" t="inlineStr">
        <is>
          <t>Dispensação a pacientes</t>
        </is>
      </c>
      <c r="M11" s="16" t="inlineStr">
        <is>
          <t>João Silva</t>
        </is>
      </c>
      <c r="N11" s="3" t="inlineStr">
        <is>
          <t>23.456.789/0001-01</t>
        </is>
      </c>
      <c r="O11" s="7" t="n">
        <v>1.35</v>
      </c>
      <c r="P11" s="17">
        <f>IFERROR(F11*O11,0)</f>
        <v/>
      </c>
    </row>
    <row r="12">
      <c r="A12" s="15" t="inlineStr">
        <is>
          <t>08/07/2026</t>
        </is>
      </c>
      <c r="B12" s="6" t="inlineStr">
        <is>
          <t>Saída</t>
        </is>
      </c>
      <c r="C12" s="6" t="inlineStr">
        <is>
          <t>MED007</t>
        </is>
      </c>
      <c r="D12" s="10">
        <f>IFERROR(VLOOKUP(C12,Cadastro_Medicamentos!$A:$B,2,FALSE),"")</f>
        <v/>
      </c>
      <c r="E12" s="6" t="inlineStr">
        <is>
          <t>L2607G</t>
        </is>
      </c>
      <c r="F12" s="6" t="n">
        <v>40</v>
      </c>
      <c r="G12" s="6" t="inlineStr">
        <is>
          <t>Caixa</t>
        </is>
      </c>
      <c r="H12" s="10" t="inlineStr">
        <is>
          <t>Requisição</t>
        </is>
      </c>
      <c r="I12" s="10" t="inlineStr">
        <is>
          <t>000115</t>
        </is>
      </c>
      <c r="J12" s="11" t="inlineStr">
        <is>
          <t>Farmácia Central</t>
        </is>
      </c>
      <c r="K12" s="6" t="inlineStr">
        <is>
          <t>Farmácia Central</t>
        </is>
      </c>
      <c r="L12" s="16" t="inlineStr">
        <is>
          <t>Dispensação a pacientes</t>
        </is>
      </c>
      <c r="M12" s="16" t="inlineStr">
        <is>
          <t>Maria Oliveira</t>
        </is>
      </c>
      <c r="N12" s="10" t="inlineStr">
        <is>
          <t>34.567.890/0001-12</t>
        </is>
      </c>
      <c r="O12" s="7" t="n">
        <v>1.05</v>
      </c>
      <c r="P12" s="18">
        <f>IFERROR(F12*O12,0)</f>
        <v/>
      </c>
    </row>
    <row r="13"/>
    <row r="14"/>
    <row r="15">
      <c r="A15" s="19" t="inlineStr">
        <is>
          <t>RESUMO POR TIPO DE MOVIMENTAÇÃO</t>
        </is>
      </c>
    </row>
    <row r="16">
      <c r="A16" s="2" t="inlineStr">
        <is>
          <t>Tipo</t>
        </is>
      </c>
      <c r="B16" s="2" t="inlineStr">
        <is>
          <t>Qtd. Total Movimentada</t>
        </is>
      </c>
    </row>
    <row r="17">
      <c r="A17" s="3" t="inlineStr">
        <is>
          <t>Entrada</t>
        </is>
      </c>
      <c r="B17" s="3">
        <f>SUMIFS(F3:F12,B3:B12,A17)</f>
        <v/>
      </c>
    </row>
    <row r="18">
      <c r="A18" s="3" t="inlineStr">
        <is>
          <t>Saída</t>
        </is>
      </c>
      <c r="B18" s="3">
        <f>SUMIFS(F3:F12,B3:B12,A18)</f>
        <v/>
      </c>
    </row>
    <row r="19">
      <c r="A19" s="3" t="inlineStr">
        <is>
          <t>Perda</t>
        </is>
      </c>
      <c r="B19" s="3">
        <f>SUMIFS(F3:F12,B3:B12,A19)</f>
        <v/>
      </c>
    </row>
    <row r="20">
      <c r="A20" s="3" t="inlineStr">
        <is>
          <t>Ajuste</t>
        </is>
      </c>
      <c r="B20" s="3">
        <f>SUMIFS(F3:F12,B3:B12,A20)</f>
        <v/>
      </c>
    </row>
  </sheetData>
  <mergeCells count="2">
    <mergeCell ref="A1:P1"/>
    <mergeCell ref="A15:C15"/>
  </mergeCells>
  <dataValidations count="2">
    <dataValidation sqref="B3:B52" showErrorMessage="1" showInputMessage="1" allowBlank="1" type="list">
      <formula1>"Entrada,Saída,Perda,Ajuste"</formula1>
    </dataValidation>
    <dataValidation sqref="K3:K52" showErrorMessage="1" showInputMessage="1" allowBlank="1" type="list">
      <formula1>"Farmácia Central,Ambulatório,Pronto Atendimento,Clínica Geral"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8" customWidth="1" min="3" max="3"/>
    <col width="22" customWidth="1" min="4" max="4"/>
    <col width="14" customWidth="1" min="5" max="5"/>
    <col width="4" customWidth="1" min="6" max="6"/>
    <col width="14" customWidth="1" min="7" max="7"/>
    <col width="14" customWidth="1" min="8" max="8"/>
  </cols>
  <sheetData>
    <row r="1" ht="26" customHeight="1">
      <c r="A1" s="1" t="inlineStr">
        <is>
          <t>DASHBOARD - CONTROLE DE MEDICAMENTOS</t>
        </is>
      </c>
    </row>
    <row r="2"/>
    <row r="3">
      <c r="A3" s="19" t="inlineStr">
        <is>
          <t>INDICADORES-CHAVE</t>
        </is>
      </c>
    </row>
    <row r="4">
      <c r="A4" s="20" t="inlineStr">
        <is>
          <t>Total de Itens Cadastrados</t>
        </is>
      </c>
      <c r="B4" s="21" t="n"/>
      <c r="C4" s="22">
        <f>COUNTA(Cadastro_Medicamentos!A3:A12)</f>
        <v/>
      </c>
      <c r="D4" s="21" t="n"/>
    </row>
    <row r="5">
      <c r="A5" s="23" t="inlineStr">
        <is>
          <t>Total de Medicamentos em Estoque (un.)</t>
        </is>
      </c>
      <c r="B5" s="21" t="n"/>
      <c r="C5" s="24">
        <f>SUM(Cadastro_Medicamentos!I3:I12)</f>
        <v/>
      </c>
      <c r="D5" s="21" t="n"/>
    </row>
    <row r="6">
      <c r="A6" s="20" t="inlineStr">
        <is>
          <t>Itens Abaixo do Estoque Mínimo</t>
        </is>
      </c>
      <c r="B6" s="21" t="n"/>
      <c r="C6" s="22">
        <f>COUNTIF(Cadastro_Medicamentos!Q3:Q12,"Atenção")</f>
        <v/>
      </c>
      <c r="D6" s="21" t="n"/>
    </row>
    <row r="7">
      <c r="A7" s="23" t="inlineStr">
        <is>
          <t>Lotes Vencendo em até 90 Dias</t>
        </is>
      </c>
      <c r="B7" s="21" t="n"/>
      <c r="C7" s="25">
        <f>COUNTIF(Cadastro_Medicamentos!S3:S12,"Vence em até 90 dias")</f>
        <v/>
      </c>
      <c r="D7" s="21" t="n"/>
    </row>
    <row r="8">
      <c r="A8" s="20" t="inlineStr">
        <is>
          <t>Valor Total em Estoque</t>
        </is>
      </c>
      <c r="B8" s="21" t="n"/>
      <c r="C8" s="26">
        <f>SUMPRODUCT(Cadastro_Medicamentos!I3:I12,Cadastro_Medicamentos!L3:L12)</f>
        <v/>
      </c>
      <c r="D8" s="21" t="n"/>
    </row>
    <row r="9">
      <c r="A9" s="23" t="inlineStr">
        <is>
          <t>Saídas no Mês Atual (un.)</t>
        </is>
      </c>
      <c r="B9" s="21" t="n"/>
      <c r="C9" s="24">
        <f>SUMPRODUCT((Movimentações!$B$3:$B$12="Saída")*(MONTH(Movimentações!$A$3:$A$12)=MONTH(TODAY()))*(YEAR(Movimentações!$A$3:$A$12)=YEAR(TODAY()))*Movimentações!$F$3:$F$12)</f>
        <v/>
      </c>
      <c r="D9" s="21" t="n"/>
    </row>
    <row r="10">
      <c r="A10" s="20" t="inlineStr">
        <is>
          <t>Taxa Média de Margem</t>
        </is>
      </c>
      <c r="B10" s="21" t="n"/>
      <c r="C10" s="27">
        <f>AVERAGE(Cadastro_Medicamentos!R3:R12)</f>
        <v/>
      </c>
      <c r="D10" s="21" t="n"/>
    </row>
    <row r="11"/>
    <row r="12"/>
    <row r="13">
      <c r="A13" s="19" t="inlineStr">
        <is>
          <t>ESTOQUE ATUAL POR MEDICAMENTO</t>
        </is>
      </c>
      <c r="D13" s="19" t="inlineStr">
        <is>
          <t>DISTRIBUIÇÃO POR CATEGORIA</t>
        </is>
      </c>
      <c r="G13" s="19" t="inlineStr">
        <is>
          <t>SAÍDAS POR MÊS EM 2026</t>
        </is>
      </c>
    </row>
    <row r="14">
      <c r="A14" s="2" t="inlineStr">
        <is>
          <t>Medicamento</t>
        </is>
      </c>
      <c r="B14" s="2" t="inlineStr">
        <is>
          <t>Quantidade Atual</t>
        </is>
      </c>
      <c r="D14" s="2" t="inlineStr">
        <is>
          <t>Categoria</t>
        </is>
      </c>
      <c r="E14" s="2" t="inlineStr">
        <is>
          <t>Qtd. Atual</t>
        </is>
      </c>
      <c r="G14" s="2" t="inlineStr">
        <is>
          <t>Mês</t>
        </is>
      </c>
      <c r="H14" s="2" t="inlineStr">
        <is>
          <t>Qtd. Saída</t>
        </is>
      </c>
    </row>
    <row r="15">
      <c r="A15" s="8">
        <f>Cadastro_Medicamentos!B3</f>
        <v/>
      </c>
      <c r="B15" s="3">
        <f>Cadastro_Medicamentos!I3</f>
        <v/>
      </c>
      <c r="D15" s="8" t="inlineStr">
        <is>
          <t>Analgésico</t>
        </is>
      </c>
      <c r="E15" s="3">
        <f>SUMIF(Cadastro_Medicamentos!$E$3:$E$12,D15,Cadastro_Medicamentos!$I$3:$I$12)</f>
        <v/>
      </c>
      <c r="G15" s="8" t="inlineStr">
        <is>
          <t>Janeiro</t>
        </is>
      </c>
      <c r="H15" s="3">
        <f>SUMPRODUCT((Movimentações!$B$3:$B$12="Saída")*(MONTH(Movimentações!$A$3:$A$12)=1)*(YEAR(Movimentações!$A$3:$A$12)=2026)*Movimentações!$F$3:$F$12)</f>
        <v/>
      </c>
    </row>
    <row r="16">
      <c r="A16" s="13">
        <f>Cadastro_Medicamentos!B4</f>
        <v/>
      </c>
      <c r="B16" s="10">
        <f>Cadastro_Medicamentos!I4</f>
        <v/>
      </c>
      <c r="D16" s="13" t="inlineStr">
        <is>
          <t>Antibiótico</t>
        </is>
      </c>
      <c r="E16" s="10">
        <f>SUMIF(Cadastro_Medicamentos!$E$3:$E$12,D16,Cadastro_Medicamentos!$I$3:$I$12)</f>
        <v/>
      </c>
      <c r="G16" s="13" t="inlineStr">
        <is>
          <t>Fevereiro</t>
        </is>
      </c>
      <c r="H16" s="10">
        <f>SUMPRODUCT((Movimentações!$B$3:$B$12="Saída")*(MONTH(Movimentações!$A$3:$A$12)=2)*(YEAR(Movimentações!$A$3:$A$12)=2026)*Movimentações!$F$3:$F$12)</f>
        <v/>
      </c>
    </row>
    <row r="17">
      <c r="A17" s="8">
        <f>Cadastro_Medicamentos!B5</f>
        <v/>
      </c>
      <c r="B17" s="3">
        <f>Cadastro_Medicamentos!I5</f>
        <v/>
      </c>
      <c r="D17" s="8" t="inlineStr">
        <is>
          <t>Antiulceroso</t>
        </is>
      </c>
      <c r="E17" s="3">
        <f>SUMIF(Cadastro_Medicamentos!$E$3:$E$12,D17,Cadastro_Medicamentos!$I$3:$I$12)</f>
        <v/>
      </c>
      <c r="G17" s="8" t="inlineStr">
        <is>
          <t>Março</t>
        </is>
      </c>
      <c r="H17" s="3">
        <f>SUMPRODUCT((Movimentações!$B$3:$B$12="Saída")*(MONTH(Movimentações!$A$3:$A$12)=3)*(YEAR(Movimentações!$A$3:$A$12)=2026)*Movimentações!$F$3:$F$12)</f>
        <v/>
      </c>
    </row>
    <row r="18">
      <c r="A18" s="13">
        <f>Cadastro_Medicamentos!B6</f>
        <v/>
      </c>
      <c r="B18" s="10">
        <f>Cadastro_Medicamentos!I6</f>
        <v/>
      </c>
      <c r="D18" s="13" t="inlineStr">
        <is>
          <t>Anti-hipertensivo</t>
        </is>
      </c>
      <c r="E18" s="10">
        <f>SUMIF(Cadastro_Medicamentos!$E$3:$E$12,D18,Cadastro_Medicamentos!$I$3:$I$12)</f>
        <v/>
      </c>
      <c r="G18" s="13" t="inlineStr">
        <is>
          <t>Abril</t>
        </is>
      </c>
      <c r="H18" s="10">
        <f>SUMPRODUCT((Movimentações!$B$3:$B$12="Saída")*(MONTH(Movimentações!$A$3:$A$12)=4)*(YEAR(Movimentações!$A$3:$A$12)=2026)*Movimentações!$F$3:$F$12)</f>
        <v/>
      </c>
    </row>
    <row r="19">
      <c r="A19" s="8">
        <f>Cadastro_Medicamentos!B7</f>
        <v/>
      </c>
      <c r="B19" s="3">
        <f>Cadastro_Medicamentos!I7</f>
        <v/>
      </c>
      <c r="D19" s="8" t="inlineStr">
        <is>
          <t>Anti-inflamatório</t>
        </is>
      </c>
      <c r="E19" s="3">
        <f>SUMIF(Cadastro_Medicamentos!$E$3:$E$12,D19,Cadastro_Medicamentos!$I$3:$I$12)</f>
        <v/>
      </c>
      <c r="G19" s="8" t="inlineStr">
        <is>
          <t>Maio</t>
        </is>
      </c>
      <c r="H19" s="3">
        <f>SUMPRODUCT((Movimentações!$B$3:$B$12="Saída")*(MONTH(Movimentações!$A$3:$A$12)=5)*(YEAR(Movimentações!$A$3:$A$12)=2026)*Movimentações!$F$3:$F$12)</f>
        <v/>
      </c>
    </row>
    <row r="20">
      <c r="A20" s="13">
        <f>Cadastro_Medicamentos!B8</f>
        <v/>
      </c>
      <c r="B20" s="10">
        <f>Cadastro_Medicamentos!I8</f>
        <v/>
      </c>
      <c r="D20" s="13" t="inlineStr">
        <is>
          <t>Antidiabético</t>
        </is>
      </c>
      <c r="E20" s="10">
        <f>SUMIF(Cadastro_Medicamentos!$E$3:$E$12,D20,Cadastro_Medicamentos!$I$3:$I$12)</f>
        <v/>
      </c>
      <c r="G20" s="13" t="inlineStr">
        <is>
          <t>Junho</t>
        </is>
      </c>
      <c r="H20" s="10">
        <f>SUMPRODUCT((Movimentações!$B$3:$B$12="Saída")*(MONTH(Movimentações!$A$3:$A$12)=6)*(YEAR(Movimentações!$A$3:$A$12)=2026)*Movimentações!$F$3:$F$12)</f>
        <v/>
      </c>
    </row>
    <row r="21">
      <c r="A21" s="8">
        <f>Cadastro_Medicamentos!B9</f>
        <v/>
      </c>
      <c r="B21" s="3">
        <f>Cadastro_Medicamentos!I9</f>
        <v/>
      </c>
      <c r="D21" s="8" t="inlineStr">
        <is>
          <t>Solução Injetável</t>
        </is>
      </c>
      <c r="E21" s="3">
        <f>SUMIF(Cadastro_Medicamentos!$E$3:$E$12,D21,Cadastro_Medicamentos!$I$3:$I$12)</f>
        <v/>
      </c>
      <c r="G21" s="8" t="inlineStr">
        <is>
          <t>Julho</t>
        </is>
      </c>
      <c r="H21" s="3">
        <f>SUMPRODUCT((Movimentações!$B$3:$B$12="Saída")*(MONTH(Movimentações!$A$3:$A$12)=7)*(YEAR(Movimentações!$A$3:$A$12)=2026)*Movimentações!$F$3:$F$12)</f>
        <v/>
      </c>
    </row>
    <row r="22">
      <c r="A22" s="13">
        <f>Cadastro_Medicamentos!B10</f>
        <v/>
      </c>
      <c r="B22" s="10">
        <f>Cadastro_Medicamentos!I10</f>
        <v/>
      </c>
      <c r="D22" s="13" t="inlineStr">
        <is>
          <t>Antialérgico</t>
        </is>
      </c>
      <c r="E22" s="10">
        <f>SUMIF(Cadastro_Medicamentos!$E$3:$E$12,D22,Cadastro_Medicamentos!$I$3:$I$12)</f>
        <v/>
      </c>
      <c r="G22" s="13" t="inlineStr">
        <is>
          <t>Agosto</t>
        </is>
      </c>
      <c r="H22" s="10">
        <f>SUMPRODUCT((Movimentações!$B$3:$B$12="Saída")*(MONTH(Movimentações!$A$3:$A$12)=8)*(YEAR(Movimentações!$A$3:$A$12)=2026)*Movimentações!$F$3:$F$12)</f>
        <v/>
      </c>
    </row>
    <row r="23">
      <c r="A23" s="8">
        <f>Cadastro_Medicamentos!B11</f>
        <v/>
      </c>
      <c r="B23" s="3">
        <f>Cadastro_Medicamentos!I11</f>
        <v/>
      </c>
      <c r="G23" s="8" t="inlineStr">
        <is>
          <t>Setembro</t>
        </is>
      </c>
      <c r="H23" s="3">
        <f>SUMPRODUCT((Movimentações!$B$3:$B$12="Saída")*(MONTH(Movimentações!$A$3:$A$12)=9)*(YEAR(Movimentações!$A$3:$A$12)=2026)*Movimentações!$F$3:$F$12)</f>
        <v/>
      </c>
    </row>
    <row r="24">
      <c r="A24" s="13">
        <f>Cadastro_Medicamentos!B12</f>
        <v/>
      </c>
      <c r="B24" s="10">
        <f>Cadastro_Medicamentos!I12</f>
        <v/>
      </c>
      <c r="G24" s="13" t="inlineStr">
        <is>
          <t>Outubro</t>
        </is>
      </c>
      <c r="H24" s="10">
        <f>SUMPRODUCT((Movimentações!$B$3:$B$12="Saída")*(MONTH(Movimentações!$A$3:$A$12)=10)*(YEAR(Movimentações!$A$3:$A$12)=2026)*Movimentações!$F$3:$F$12)</f>
        <v/>
      </c>
    </row>
    <row r="25">
      <c r="G25" s="8" t="inlineStr">
        <is>
          <t>Novembro</t>
        </is>
      </c>
      <c r="H25" s="3">
        <f>SUMPRODUCT((Movimentações!$B$3:$B$12="Saída")*(MONTH(Movimentações!$A$3:$A$12)=11)*(YEAR(Movimentações!$A$3:$A$12)=2026)*Movimentações!$F$3:$F$12)</f>
        <v/>
      </c>
    </row>
    <row r="26">
      <c r="G26" s="13" t="inlineStr">
        <is>
          <t>Dezembro</t>
        </is>
      </c>
      <c r="H26" s="10">
        <f>SUMPRODUCT((Movimentações!$B$3:$B$12="Saída")*(MONTH(Movimentações!$A$3:$A$12)=12)*(YEAR(Movimentações!$A$3:$A$12)=2026)*Movimentações!$F$3:$F$12)</f>
        <v/>
      </c>
    </row>
    <row r="27"/>
    <row r="28"/>
    <row r="29"/>
    <row r="30">
      <c r="A30" s="19" t="inlineStr">
        <is>
          <t>MEDICAMENTOS ABAIXO DO ESTOQUE MÍNIMO</t>
        </is>
      </c>
    </row>
    <row r="31">
      <c r="A31" s="2" t="inlineStr">
        <is>
          <t>Medicamento</t>
        </is>
      </c>
      <c r="B31" s="2" t="inlineStr">
        <is>
          <t>Qtd. Atual (se abaixo do mínimo)</t>
        </is>
      </c>
    </row>
    <row r="32">
      <c r="A32" s="8">
        <f>Cadastro_Medicamentos!B3</f>
        <v/>
      </c>
      <c r="B32" s="3">
        <f>IF(Cadastro_Medicamentos!Q3="Atenção",Cadastro_Medicamentos!I3,0)</f>
        <v/>
      </c>
    </row>
    <row r="33">
      <c r="A33" s="13">
        <f>Cadastro_Medicamentos!B4</f>
        <v/>
      </c>
      <c r="B33" s="10">
        <f>IF(Cadastro_Medicamentos!Q4="Atenção",Cadastro_Medicamentos!I4,0)</f>
        <v/>
      </c>
    </row>
    <row r="34">
      <c r="A34" s="8">
        <f>Cadastro_Medicamentos!B5</f>
        <v/>
      </c>
      <c r="B34" s="3">
        <f>IF(Cadastro_Medicamentos!Q5="Atenção",Cadastro_Medicamentos!I5,0)</f>
        <v/>
      </c>
    </row>
    <row r="35">
      <c r="A35" s="13">
        <f>Cadastro_Medicamentos!B6</f>
        <v/>
      </c>
      <c r="B35" s="10">
        <f>IF(Cadastro_Medicamentos!Q6="Atenção",Cadastro_Medicamentos!I6,0)</f>
        <v/>
      </c>
    </row>
    <row r="36">
      <c r="A36" s="8">
        <f>Cadastro_Medicamentos!B7</f>
        <v/>
      </c>
      <c r="B36" s="3">
        <f>IF(Cadastro_Medicamentos!Q7="Atenção",Cadastro_Medicamentos!I7,0)</f>
        <v/>
      </c>
    </row>
    <row r="37">
      <c r="A37" s="13">
        <f>Cadastro_Medicamentos!B8</f>
        <v/>
      </c>
      <c r="B37" s="10">
        <f>IF(Cadastro_Medicamentos!Q8="Atenção",Cadastro_Medicamentos!I8,0)</f>
        <v/>
      </c>
    </row>
    <row r="38">
      <c r="A38" s="8">
        <f>Cadastro_Medicamentos!B9</f>
        <v/>
      </c>
      <c r="B38" s="3">
        <f>IF(Cadastro_Medicamentos!Q9="Atenção",Cadastro_Medicamentos!I9,0)</f>
        <v/>
      </c>
    </row>
    <row r="39">
      <c r="A39" s="13">
        <f>Cadastro_Medicamentos!B10</f>
        <v/>
      </c>
      <c r="B39" s="10">
        <f>IF(Cadastro_Medicamentos!Q10="Atenção",Cadastro_Medicamentos!I10,0)</f>
        <v/>
      </c>
    </row>
    <row r="40">
      <c r="A40" s="8">
        <f>Cadastro_Medicamentos!B11</f>
        <v/>
      </c>
      <c r="B40" s="3">
        <f>IF(Cadastro_Medicamentos!Q11="Atenção",Cadastro_Medicamentos!I11,0)</f>
        <v/>
      </c>
    </row>
    <row r="41">
      <c r="A41" s="13">
        <f>Cadastro_Medicamentos!B12</f>
        <v/>
      </c>
      <c r="B41" s="10">
        <f>IF(Cadastro_Medicamentos!Q12="Atenção",Cadastro_Medicamentos!I12,0)</f>
        <v/>
      </c>
    </row>
  </sheetData>
  <mergeCells count="20">
    <mergeCell ref="A1:H1"/>
    <mergeCell ref="A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3:C13"/>
    <mergeCell ref="D13:E13"/>
    <mergeCell ref="G13:H13"/>
    <mergeCell ref="A30:B30"/>
  </mergeCells>
  <conditionalFormatting sqref="C6:D6">
    <cfRule type="cellIs" priority="1" operator="greaterThan" dxfId="0">
      <formula>0</formula>
    </cfRule>
  </conditionalFormatting>
  <conditionalFormatting sqref="C7:D7">
    <cfRule type="cellIs" priority="2" operator="greaterThan" dxfId="2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5" customWidth="1" min="1" max="1"/>
    <col width="55" customWidth="1" min="2" max="2"/>
  </cols>
  <sheetData>
    <row r="1" ht="26" customHeight="1">
      <c r="A1" s="1" t="inlineStr">
        <is>
          <t>INSTRUÇÕES DE USO - CONTROLE DE MEDICAMENTOS</t>
        </is>
      </c>
    </row>
    <row r="2"/>
    <row r="3">
      <c r="A3" s="28" t="inlineStr">
        <is>
          <t>1. Cadastro_Medicamentos</t>
        </is>
      </c>
    </row>
    <row r="4" ht="48" customHeight="1">
      <c r="A4" s="29" t="inlineStr">
        <is>
          <t>Contém o cadastro completo dos medicamentos: código, princípio ativo, apresentação, categoria, lote, validade, quantidades e preços. A coluna 'Quantidade Atual' é calculada automaticamente somando entradas e subtraindo saídas e perdas registradas na aba Movimentações. Campos em amarelo claro são editáveis.</t>
        </is>
      </c>
    </row>
    <row r="5"/>
    <row r="6">
      <c r="A6" s="28" t="inlineStr">
        <is>
          <t>2. Situação e Alertas</t>
        </is>
      </c>
    </row>
    <row r="7" ht="48" customHeight="1">
      <c r="A7" s="29" t="inlineStr">
        <is>
          <t>A coluna 'Situação' mostra 'Atenção' (vermelho) quando a quantidade atual está igual ou abaixo do estoque mínimo, e 'OK' (verde) caso contrário. A coluna 'Alerta Validade' sinaliza lotes que vencem em até 90 dias a partir da data de hoje, destacados em laranja.</t>
        </is>
      </c>
    </row>
    <row r="8"/>
    <row r="9">
      <c r="A9" s="28" t="inlineStr">
        <is>
          <t>3. Margem de Lucro</t>
        </is>
      </c>
    </row>
    <row r="10" ht="48" customHeight="1">
      <c r="A10" s="29" t="inlineStr">
        <is>
          <t>A coluna '% Margem' calcula a margem entre preço de venda e preço de custo. Valores abaixo de 10% são destacados em vermelho para indicar necessidade de revisão de preços.</t>
        </is>
      </c>
    </row>
    <row r="11"/>
    <row r="12">
      <c r="A12" s="28" t="inlineStr">
        <is>
          <t>4. Movimentações</t>
        </is>
      </c>
    </row>
    <row r="13" ht="48" customHeight="1">
      <c r="A13" s="29" t="inlineStr">
        <is>
          <t>Registre toda entrada, saída, perda ou ajuste de estoque nesta aba. O campo 'Medicamento' é preenchido automaticamente via busca pelo código na aba Cadastro_Medicamentos. O 'Valor Total' é calculado pela multiplicação da quantidade pelo valor unitário. Use os menus suspensos para Tipo de Movimentação e Centro de Custo.</t>
        </is>
      </c>
    </row>
    <row r="14"/>
    <row r="15">
      <c r="A15" s="28" t="inlineStr">
        <is>
          <t>5. Rastreabilidade por Lote e NF-e</t>
        </is>
      </c>
    </row>
    <row r="16" ht="48" customHeight="1">
      <c r="A16" s="29" t="inlineStr">
        <is>
          <t>Sempre informe o número do lote e da Nota Fiscal Eletrônica (NF-e) nas movimentações para garantir rastreabilidade completa em caso de recall ou auditoria.</t>
        </is>
      </c>
    </row>
    <row r="17"/>
    <row r="18">
      <c r="A18" s="28" t="inlineStr">
        <is>
          <t>6. Dashboard</t>
        </is>
      </c>
    </row>
    <row r="19" ht="48" customHeight="1">
      <c r="A19" s="29" t="inlineStr">
        <is>
          <t>Apresenta indicadores gerenciais consolidados (total de itens, valor em estoque, itens abaixo do mínimo, lotes a vencer, margem média) e gráficos de estoque, distribuição por categoria, saídas mensais e alertas de reposição.</t>
        </is>
      </c>
    </row>
    <row r="20"/>
    <row r="21">
      <c r="A21" s="28" t="inlineStr">
        <is>
          <t>7. Padrão de Datas e Valores</t>
        </is>
      </c>
    </row>
    <row r="22" ht="48" customHeight="1">
      <c r="A22" s="29" t="inlineStr">
        <is>
          <t>Datas seguem o padrão brasileiro DD/MM/AAAA. Valores monetários seguem o padrão R$ 1.234,56 (ponto para milhar e vírgula para decimal).</t>
        </is>
      </c>
    </row>
    <row r="23"/>
    <row r="24">
      <c r="A24" s="28" t="inlineStr">
        <is>
          <t>8. Boas Práticas</t>
        </is>
      </c>
    </row>
    <row r="25" ht="48" customHeight="1">
      <c r="A25" s="29" t="inlineStr">
        <is>
          <t>Atualize as movimentações diariamente para manter o estoque preciso. Revise periodicamente os itens com situação 'Atenção' e os lotes próximos do vencimento para evitar perdas e rupturas de estoque.</t>
        </is>
      </c>
    </row>
  </sheetData>
  <mergeCells count="17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  <mergeCell ref="A21:B21"/>
    <mergeCell ref="A22:B22"/>
    <mergeCell ref="A24:B24"/>
    <mergeCell ref="A25:B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2026-07-13T23:54:16Z</dcterms:created>
  <dcterms:modified xmlns:dcterms="http://purl.org/dc/terms/" xmlns:xsi="http://www.w3.org/2001/XMLSchema-instance" xsi:type="dcterms:W3CDTF">2026-07-13T23:54:16Z</dcterms:modified>
</cp:coreProperties>
</file>