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çamentos" sheetId="1" state="visible" r:id="rId1"/>
    <sheet xmlns:r="http://schemas.openxmlformats.org/officeDocument/2006/relationships" name="Cadastro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0" hidden="1">'Lançamentos'!$A$4:$S$13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R$&quot; #.##0,00"/>
    <numFmt numFmtId="166" formatCode="0,0%"/>
  </numFmts>
  <fonts count="8">
    <font>
      <name val="Calibri"/>
      <family val="2"/>
      <color theme="1"/>
      <sz val="11"/>
      <scheme val="minor"/>
    </font>
    <font>
      <name val="Calibri"/>
      <b val="1"/>
      <color rgb="00EA580C"/>
      <sz val="16"/>
    </font>
    <font>
      <name val="Calibri"/>
      <i val="1"/>
      <color rgb="0064748B"/>
      <sz val="10"/>
    </font>
    <font>
      <name val="Calibri"/>
      <b val="1"/>
      <color rgb="00FFFFFF"/>
      <sz val="11"/>
    </font>
    <font>
      <name val="Calibri"/>
      <color rgb="00334155"/>
      <sz val="10"/>
    </font>
    <font>
      <name val="Calibri"/>
      <b val="1"/>
      <color rgb="00334155"/>
      <sz val="10"/>
    </font>
    <font>
      <name val="Calibri"/>
      <b val="1"/>
      <color rgb="00FFFFFF"/>
      <sz val="10"/>
    </font>
    <font>
      <name val="Calibri"/>
      <b val="1"/>
      <color rgb="00EA580C"/>
      <sz val="14"/>
    </font>
  </fonts>
  <fills count="7">
    <fill>
      <patternFill/>
    </fill>
    <fill>
      <patternFill patternType="gray125"/>
    </fill>
    <fill>
      <patternFill patternType="solid">
        <fgColor rgb="00EA580C"/>
      </patternFill>
    </fill>
    <fill>
      <patternFill patternType="solid">
        <fgColor rgb="00FFF7ED"/>
      </patternFill>
    </fill>
    <fill>
      <patternFill patternType="solid">
        <fgColor rgb="00FFFBEB"/>
      </patternFill>
    </fill>
    <fill>
      <patternFill patternType="solid">
        <fgColor rgb="00334155"/>
      </patternFill>
    </fill>
    <fill>
      <patternFill patternType="solid">
        <fgColor rgb="00F1F5F9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164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166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166" fontId="4" fillId="4" borderId="1" applyAlignment="1" pivotButton="0" quotePrefix="0" xfId="0">
      <alignment horizontal="center" vertical="center" wrapText="1"/>
    </xf>
    <xf numFmtId="0" fontId="6" fillId="5" borderId="0" applyAlignment="1" pivotButton="0" quotePrefix="0" xfId="0">
      <alignment horizontal="center" vertical="center" wrapText="1"/>
    </xf>
    <xf numFmtId="0" fontId="0" fillId="5" borderId="0" pivotButton="0" quotePrefix="0" xfId="0"/>
    <xf numFmtId="165" fontId="7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1" fontId="7" fillId="6" borderId="1" applyAlignment="1" pivotButton="0" quotePrefix="0" xfId="0">
      <alignment horizontal="center" vertical="center" wrapText="1"/>
    </xf>
    <xf numFmtId="166" fontId="7" fillId="6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4" fillId="3" borderId="1" pivotButton="0" quotePrefix="0" xfId="0"/>
    <xf numFmtId="0" fontId="4" fillId="0" borderId="1" pivotButton="0" quotePrefix="0" xfId="0"/>
    <xf numFmtId="164" fontId="4" fillId="0" borderId="1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top" wrapText="1"/>
    </xf>
    <xf numFmtId="164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166" fontId="4" fillId="3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center" vertical="center" wrapText="1"/>
    </xf>
    <xf numFmtId="165" fontId="7" fillId="6" borderId="1" applyAlignment="1" pivotButton="0" quotePrefix="0" xfId="0">
      <alignment horizontal="center" vertical="center" wrapText="1"/>
    </xf>
    <xf numFmtId="0" fontId="0" fillId="0" borderId="4" pivotButton="0" quotePrefix="0" xfId="0"/>
    <xf numFmtId="166" fontId="7" fillId="6" borderId="1" applyAlignment="1" pivotButton="0" quotePrefix="0" xfId="0">
      <alignment horizontal="center" vertical="center" wrapText="1"/>
    </xf>
    <xf numFmtId="164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4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Gasto da Empresa por Cidade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'Resumo'!B11</f>
            </strRef>
          </tx>
          <spPr>
            <a:solidFill xmlns:a="http://schemas.openxmlformats.org/drawingml/2006/main">
              <a:srgbClr val="EA580C"/>
            </a:solidFill>
            <a:ln xmlns:a="http://schemas.openxmlformats.org/drawingml/2006/main">
              <a:prstDash val="solid"/>
            </a:ln>
          </spPr>
          <cat>
            <numRef>
              <f>'Resumo'!$A$12:$A$20</f>
            </numRef>
          </cat>
          <val>
            <numRef>
              <f>'Resumo'!$B$12:$B$20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Modalidade</a:t>
            </a:r>
          </a:p>
        </rich>
      </tx>
    </title>
    <plotArea>
      <pieChart>
        <varyColors val="1"/>
        <ser>
          <idx val="0"/>
          <order val="0"/>
          <tx>
            <strRef>
              <f>'Resumo'!C23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'Resumo'!$A$24:$A$27</f>
            </numRef>
          </cat>
          <val>
            <numRef>
              <f>'Resumo'!$C$24:$C$27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Diária — Valor Pago pela Empresa</a:t>
            </a:r>
          </a:p>
        </rich>
      </tx>
    </title>
    <plotArea>
      <lineChart>
        <grouping val="standard"/>
        <ser>
          <idx val="0"/>
          <order val="0"/>
          <tx>
            <strRef>
              <f>'Resumo'!B31</f>
            </strRef>
          </tx>
          <spPr>
            <a:ln xmlns:a="http://schemas.openxmlformats.org/drawingml/2006/main" w="22000">
              <a:solidFill>
                <a:srgbClr val="EA580C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'Resumo'!$A$32:$A$40</f>
            </numRef>
          </cat>
          <val>
            <numRef>
              <f>'Resumo'!$B$32:$B$40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9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26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43</row>
      <rowOff>0</rowOff>
    </from>
    <ext cx="54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11" customWidth="1" min="2" max="2"/>
    <col width="20" customWidth="1" min="3" max="3"/>
    <col width="15" customWidth="1" min="4" max="4"/>
    <col width="16" customWidth="1" min="5" max="5"/>
    <col width="20" customWidth="1" min="6" max="6"/>
    <col width="15" customWidth="1" min="7" max="7"/>
    <col width="13" customWidth="1" min="8" max="8"/>
    <col width="26" customWidth="1" min="9" max="9"/>
    <col width="20" customWidth="1" min="10" max="10"/>
    <col width="18" customWidth="1" min="11" max="11"/>
    <col width="16" customWidth="1" min="12" max="12"/>
    <col width="15" customWidth="1" min="13" max="13"/>
    <col width="15" customWidth="1" min="14" max="14"/>
    <col width="16" customWidth="1" min="15" max="15"/>
    <col width="12" customWidth="1" min="16" max="16"/>
    <col width="11" customWidth="1" min="17" max="17"/>
    <col width="15" customWidth="1" min="18" max="18"/>
    <col width="26" customWidth="1" min="19" max="19"/>
  </cols>
  <sheetData>
    <row r="1">
      <c r="A1" s="1" t="inlineStr">
        <is>
          <t>Controle de Refeições — Lançamentos</t>
        </is>
      </c>
    </row>
    <row r="2">
      <c r="A2" s="2" t="inlineStr">
        <is>
          <t>Registre cada refeição: a planilha calcula o valor pago pela empresa e o percentual subsidiado. Células amarelas = entrada manual.</t>
        </is>
      </c>
    </row>
    <row r="3"/>
    <row r="4">
      <c r="A4" s="3" t="inlineStr">
        <is>
          <t>ID</t>
        </is>
      </c>
      <c r="B4" s="3" t="inlineStr">
        <is>
          <t>Data</t>
        </is>
      </c>
      <c r="C4" s="3" t="inlineStr">
        <is>
          <t>Colaborador</t>
        </is>
      </c>
      <c r="D4" s="3" t="inlineStr">
        <is>
          <t>CPF Parcial</t>
        </is>
      </c>
      <c r="E4" s="3" t="inlineStr">
        <is>
          <t>Cidade</t>
        </is>
      </c>
      <c r="F4" s="3" t="inlineStr">
        <is>
          <t>Centro de Custo</t>
        </is>
      </c>
      <c r="G4" s="3" t="inlineStr">
        <is>
          <t>Tipo de Refeição</t>
        </is>
      </c>
      <c r="H4" s="3" t="inlineStr">
        <is>
          <t>Modalidade</t>
        </is>
      </c>
      <c r="I4" s="3" t="inlineStr">
        <is>
          <t>Fornecedor/Restaurante</t>
        </is>
      </c>
      <c r="J4" s="3" t="inlineStr">
        <is>
          <t>CNPJ Fornecedor</t>
        </is>
      </c>
      <c r="K4" s="3" t="inlineStr">
        <is>
          <t>Nº NF-e/Comprovante</t>
        </is>
      </c>
      <c r="L4" s="3" t="inlineStr">
        <is>
          <t>Valor da Refeição</t>
        </is>
      </c>
      <c r="M4" s="3" t="inlineStr">
        <is>
          <t>Subsídio Empresa</t>
        </is>
      </c>
      <c r="N4" s="3" t="inlineStr">
        <is>
          <t>Desconto Colaborador</t>
        </is>
      </c>
      <c r="O4" s="3" t="inlineStr">
        <is>
          <t>Valor Pago Empresa</t>
        </is>
      </c>
      <c r="P4" s="3" t="inlineStr">
        <is>
          <t>% Subsidiado</t>
        </is>
      </c>
      <c r="Q4" s="3" t="inlineStr">
        <is>
          <t>Status</t>
        </is>
      </c>
      <c r="R4" s="3" t="inlineStr">
        <is>
          <t>Departamento</t>
        </is>
      </c>
      <c r="S4" s="3" t="inlineStr">
        <is>
          <t>Observações</t>
        </is>
      </c>
    </row>
    <row r="5">
      <c r="A5" s="4" t="n">
        <v>1</v>
      </c>
      <c r="B5" s="29" t="n">
        <v>46027</v>
      </c>
      <c r="C5" s="6" t="inlineStr">
        <is>
          <t>João Silva</t>
        </is>
      </c>
      <c r="D5" s="4" t="inlineStr">
        <is>
          <t>***.123.***-**</t>
        </is>
      </c>
      <c r="E5" s="6" t="inlineStr">
        <is>
          <t>São Paulo</t>
        </is>
      </c>
      <c r="F5" s="7" t="inlineStr">
        <is>
          <t>CC-101 Administrativo</t>
        </is>
      </c>
      <c r="G5" s="7" t="inlineStr">
        <is>
          <t>Almoço</t>
        </is>
      </c>
      <c r="H5" s="7" t="inlineStr">
        <is>
          <t>VR</t>
        </is>
      </c>
      <c r="I5" s="6" t="inlineStr">
        <is>
          <t>Restaurante Sabor Paulista</t>
        </is>
      </c>
      <c r="J5" s="7" t="inlineStr">
        <is>
          <t>12.345.678/0001-90</t>
        </is>
      </c>
      <c r="K5" s="7" t="inlineStr">
        <is>
          <t>NF-1001</t>
        </is>
      </c>
      <c r="L5" s="30" t="n">
        <v>42.5</v>
      </c>
      <c r="M5" s="30" t="n">
        <v>34</v>
      </c>
      <c r="N5" s="30" t="n">
        <v>8.5</v>
      </c>
      <c r="O5" s="31">
        <f>IFERROR(L5-MIN(M5,L5),0)</f>
        <v/>
      </c>
      <c r="P5" s="32">
        <f>IFERROR(M5/L5,0)</f>
        <v/>
      </c>
      <c r="Q5" s="7" t="inlineStr">
        <is>
          <t>Aprovado</t>
        </is>
      </c>
      <c r="R5" s="11">
        <f>IFERROR(VLOOKUP(C5,Cadastro!$A$2:$H$10,4,FALSE),"Não cadastrado")</f>
        <v/>
      </c>
      <c r="S5" s="6" t="inlineStr">
        <is>
          <t>Almoço padrão</t>
        </is>
      </c>
    </row>
    <row r="6">
      <c r="A6" s="12" t="n">
        <v>2</v>
      </c>
      <c r="B6" s="29" t="n">
        <v>46029</v>
      </c>
      <c r="C6" s="6" t="inlineStr">
        <is>
          <t>Maria Oliveira</t>
        </is>
      </c>
      <c r="D6" s="12" t="inlineStr">
        <is>
          <t>***.456.***-**</t>
        </is>
      </c>
      <c r="E6" s="6" t="inlineStr">
        <is>
          <t>Rio de Janeiro</t>
        </is>
      </c>
      <c r="F6" s="7" t="inlineStr">
        <is>
          <t>CC-102 Comercial</t>
        </is>
      </c>
      <c r="G6" s="7" t="inlineStr">
        <is>
          <t>Almoço</t>
        </is>
      </c>
      <c r="H6" s="7" t="inlineStr">
        <is>
          <t>Restaurante</t>
        </is>
      </c>
      <c r="I6" s="6" t="inlineStr">
        <is>
          <t>Bistrô Carioca</t>
        </is>
      </c>
      <c r="J6" s="7" t="inlineStr">
        <is>
          <t>23.456.789/0001-01</t>
        </is>
      </c>
      <c r="K6" s="7" t="inlineStr">
        <is>
          <t>NF-2450</t>
        </is>
      </c>
      <c r="L6" s="30" t="n">
        <v>58</v>
      </c>
      <c r="M6" s="30" t="n">
        <v>46.4</v>
      </c>
      <c r="N6" s="30" t="n">
        <v>11.6</v>
      </c>
      <c r="O6" s="33">
        <f>IFERROR(L6-MIN(M6,L6),0)</f>
        <v/>
      </c>
      <c r="P6" s="34">
        <f>IFERROR(M6/L6,0)</f>
        <v/>
      </c>
      <c r="Q6" s="7" t="inlineStr">
        <is>
          <t>Aprovado</t>
        </is>
      </c>
      <c r="R6" s="15">
        <f>IFERROR(VLOOKUP(C6,Cadastro!$A$2:$H$10,4,FALSE),"Não cadastrado")</f>
        <v/>
      </c>
      <c r="S6" s="6" t="inlineStr">
        <is>
          <t>Reunião com cliente</t>
        </is>
      </c>
    </row>
    <row r="7">
      <c r="A7" s="4" t="n">
        <v>3</v>
      </c>
      <c r="B7" s="29" t="n">
        <v>46031</v>
      </c>
      <c r="C7" s="6" t="inlineStr">
        <is>
          <t>Pedro Santos</t>
        </is>
      </c>
      <c r="D7" s="4" t="inlineStr">
        <is>
          <t>***.789.***-**</t>
        </is>
      </c>
      <c r="E7" s="6" t="inlineStr">
        <is>
          <t>Belo Horizonte</t>
        </is>
      </c>
      <c r="F7" s="7" t="inlineStr">
        <is>
          <t>CC-201 Operações</t>
        </is>
      </c>
      <c r="G7" s="7" t="inlineStr">
        <is>
          <t>Jantar</t>
        </is>
      </c>
      <c r="H7" s="7" t="inlineStr">
        <is>
          <t>VA</t>
        </is>
      </c>
      <c r="I7" s="6" t="inlineStr">
        <is>
          <t>Churrascaria Mineira</t>
        </is>
      </c>
      <c r="J7" s="7" t="inlineStr">
        <is>
          <t>34.567.890/0001-12</t>
        </is>
      </c>
      <c r="K7" s="7" t="inlineStr">
        <is>
          <t>NF-3310</t>
        </is>
      </c>
      <c r="L7" s="30" t="n">
        <v>62</v>
      </c>
      <c r="M7" s="30" t="n">
        <v>49.6</v>
      </c>
      <c r="N7" s="30" t="n">
        <v>12.4</v>
      </c>
      <c r="O7" s="31">
        <f>IFERROR(L7-MIN(M7,L7),0)</f>
        <v/>
      </c>
      <c r="P7" s="32">
        <f>IFERROR(M7/L7,0)</f>
        <v/>
      </c>
      <c r="Q7" s="7" t="inlineStr">
        <is>
          <t>Pendente</t>
        </is>
      </c>
      <c r="R7" s="11">
        <f>IFERROR(VLOOKUP(C7,Cadastro!$A$2:$H$10,4,FALSE),"Não cadastrado")</f>
        <v/>
      </c>
      <c r="S7" s="6" t="inlineStr">
        <is>
          <t>Aguardando NF-e</t>
        </is>
      </c>
    </row>
    <row r="8">
      <c r="A8" s="12" t="n">
        <v>4</v>
      </c>
      <c r="B8" s="29" t="n">
        <v>46034</v>
      </c>
      <c r="C8" s="6" t="inlineStr">
        <is>
          <t>Ana Souza</t>
        </is>
      </c>
      <c r="D8" s="12" t="inlineStr">
        <is>
          <t>***.012.***-**</t>
        </is>
      </c>
      <c r="E8" s="6" t="inlineStr">
        <is>
          <t>Curitiba</t>
        </is>
      </c>
      <c r="F8" s="7" t="inlineStr">
        <is>
          <t>CC-101 Administrativo</t>
        </is>
      </c>
      <c r="G8" s="7" t="inlineStr">
        <is>
          <t>Café da manhã</t>
        </is>
      </c>
      <c r="H8" s="7" t="inlineStr">
        <is>
          <t>Reembolso</t>
        </is>
      </c>
      <c r="I8" s="6" t="inlineStr">
        <is>
          <t>Padaria Trigo de Ouro</t>
        </is>
      </c>
      <c r="J8" s="7" t="inlineStr">
        <is>
          <t>45.678.901/0001-23</t>
        </is>
      </c>
      <c r="K8" s="7" t="inlineStr">
        <is>
          <t>CP-778</t>
        </is>
      </c>
      <c r="L8" s="30" t="n">
        <v>18.5</v>
      </c>
      <c r="M8" s="30" t="n">
        <v>14.8</v>
      </c>
      <c r="N8" s="30" t="n">
        <v>3.7</v>
      </c>
      <c r="O8" s="33">
        <f>IFERROR(L8-MIN(M8,L8),0)</f>
        <v/>
      </c>
      <c r="P8" s="34">
        <f>IFERROR(M8/L8,0)</f>
        <v/>
      </c>
      <c r="Q8" s="7" t="inlineStr">
        <is>
          <t>Aprovado</t>
        </is>
      </c>
      <c r="R8" s="15">
        <f>IFERROR(VLOOKUP(C8,Cadastro!$A$2:$H$10,4,FALSE),"Não cadastrado")</f>
        <v/>
      </c>
      <c r="S8" s="6" t="inlineStr">
        <is>
          <t>Comprovante anexado</t>
        </is>
      </c>
    </row>
    <row r="9">
      <c r="A9" s="4" t="n">
        <v>5</v>
      </c>
      <c r="B9" s="29" t="n">
        <v>46036</v>
      </c>
      <c r="C9" s="6" t="inlineStr">
        <is>
          <t>Carlos Pereira</t>
        </is>
      </c>
      <c r="D9" s="4" t="inlineStr">
        <is>
          <t>***.345.***-**</t>
        </is>
      </c>
      <c r="E9" s="6" t="inlineStr">
        <is>
          <t>Porto Alegre</t>
        </is>
      </c>
      <c r="F9" s="7" t="inlineStr">
        <is>
          <t>CC-201 Operações</t>
        </is>
      </c>
      <c r="G9" s="7" t="inlineStr">
        <is>
          <t>Almoço</t>
        </is>
      </c>
      <c r="H9" s="7" t="inlineStr">
        <is>
          <t>VR</t>
        </is>
      </c>
      <c r="I9" s="6" t="inlineStr">
        <is>
          <t>Cantina Gaúcha</t>
        </is>
      </c>
      <c r="J9" s="7" t="inlineStr">
        <is>
          <t>56.789.012/0001-34</t>
        </is>
      </c>
      <c r="K9" s="7" t="inlineStr">
        <is>
          <t>NF-5521</t>
        </is>
      </c>
      <c r="L9" s="30" t="n">
        <v>35</v>
      </c>
      <c r="M9" s="30" t="n">
        <v>28</v>
      </c>
      <c r="N9" s="30" t="n">
        <v>7</v>
      </c>
      <c r="O9" s="31">
        <f>IFERROR(L9-MIN(M9,L9),0)</f>
        <v/>
      </c>
      <c r="P9" s="32">
        <f>IFERROR(M9/L9,0)</f>
        <v/>
      </c>
      <c r="Q9" s="7" t="inlineStr">
        <is>
          <t>Aprovado</t>
        </is>
      </c>
      <c r="R9" s="11">
        <f>IFERROR(VLOOKUP(C9,Cadastro!$A$2:$H$10,4,FALSE),"Não cadastrado")</f>
        <v/>
      </c>
      <c r="S9" s="6" t="inlineStr"/>
    </row>
    <row r="10">
      <c r="A10" s="12" t="n">
        <v>6</v>
      </c>
      <c r="B10" s="29" t="n">
        <v>46038</v>
      </c>
      <c r="C10" s="6" t="inlineStr">
        <is>
          <t>Juliana Costa</t>
        </is>
      </c>
      <c r="D10" s="12" t="inlineStr">
        <is>
          <t>***.678.***-**</t>
        </is>
      </c>
      <c r="E10" s="6" t="inlineStr">
        <is>
          <t>Salvador</t>
        </is>
      </c>
      <c r="F10" s="7" t="inlineStr">
        <is>
          <t>CC-102 Comercial</t>
        </is>
      </c>
      <c r="G10" s="7" t="inlineStr">
        <is>
          <t>Lanche</t>
        </is>
      </c>
      <c r="H10" s="7" t="inlineStr">
        <is>
          <t>VA</t>
        </is>
      </c>
      <c r="I10" s="6" t="inlineStr">
        <is>
          <t>Delícias Baianas</t>
        </is>
      </c>
      <c r="J10" s="7" t="inlineStr">
        <is>
          <t>67.890.123/0001-45</t>
        </is>
      </c>
      <c r="K10" s="7" t="inlineStr">
        <is>
          <t>NF-6612</t>
        </is>
      </c>
      <c r="L10" s="30" t="n">
        <v>22</v>
      </c>
      <c r="M10" s="30" t="n">
        <v>17.6</v>
      </c>
      <c r="N10" s="30" t="n">
        <v>4.4</v>
      </c>
      <c r="O10" s="33">
        <f>IFERROR(L10-MIN(M10,L10),0)</f>
        <v/>
      </c>
      <c r="P10" s="34">
        <f>IFERROR(M10/L10,0)</f>
        <v/>
      </c>
      <c r="Q10" s="7" t="inlineStr">
        <is>
          <t>Aprovado</t>
        </is>
      </c>
      <c r="R10" s="15">
        <f>IFERROR(VLOOKUP(C10,Cadastro!$A$2:$H$10,4,FALSE),"Não cadastrado")</f>
        <v/>
      </c>
      <c r="S10" s="6" t="inlineStr"/>
    </row>
    <row r="11">
      <c r="A11" s="4" t="n">
        <v>7</v>
      </c>
      <c r="B11" s="29" t="n">
        <v>46041</v>
      </c>
      <c r="C11" s="6" t="inlineStr">
        <is>
          <t>Rafael Almeida</t>
        </is>
      </c>
      <c r="D11" s="4" t="inlineStr">
        <is>
          <t>***.901.***-**</t>
        </is>
      </c>
      <c r="E11" s="6" t="inlineStr">
        <is>
          <t>Recife</t>
        </is>
      </c>
      <c r="F11" s="7" t="inlineStr">
        <is>
          <t>CC-301 Logística</t>
        </is>
      </c>
      <c r="G11" s="7" t="inlineStr">
        <is>
          <t>Almoço</t>
        </is>
      </c>
      <c r="H11" s="7" t="inlineStr">
        <is>
          <t>Restaurante</t>
        </is>
      </c>
      <c r="I11" s="6" t="inlineStr">
        <is>
          <t>Mar de Pernambuco</t>
        </is>
      </c>
      <c r="J11" s="7" t="inlineStr">
        <is>
          <t>78.901.234/0001-56</t>
        </is>
      </c>
      <c r="K11" s="7" t="inlineStr">
        <is>
          <t>NF-7015</t>
        </is>
      </c>
      <c r="L11" s="30" t="n">
        <v>55</v>
      </c>
      <c r="M11" s="30" t="n">
        <v>44</v>
      </c>
      <c r="N11" s="30" t="n">
        <v>11</v>
      </c>
      <c r="O11" s="31">
        <f>IFERROR(L11-MIN(M11,L11),0)</f>
        <v/>
      </c>
      <c r="P11" s="32">
        <f>IFERROR(M11/L11,0)</f>
        <v/>
      </c>
      <c r="Q11" s="7" t="inlineStr">
        <is>
          <t>Rejeitado</t>
        </is>
      </c>
      <c r="R11" s="11">
        <f>IFERROR(VLOOKUP(C11,Cadastro!$A$2:$H$10,4,FALSE),"Não cadastrado")</f>
        <v/>
      </c>
      <c r="S11" s="6" t="inlineStr">
        <is>
          <t>Acima do limite diário</t>
        </is>
      </c>
    </row>
    <row r="12">
      <c r="A12" s="12" t="n">
        <v>8</v>
      </c>
      <c r="B12" s="29" t="n">
        <v>46045</v>
      </c>
      <c r="C12" s="6" t="inlineStr">
        <is>
          <t>Camila Ferreira</t>
        </is>
      </c>
      <c r="D12" s="12" t="inlineStr">
        <is>
          <t>***.234.***-**</t>
        </is>
      </c>
      <c r="E12" s="6" t="inlineStr">
        <is>
          <t>Fortaleza</t>
        </is>
      </c>
      <c r="F12" s="7" t="inlineStr">
        <is>
          <t>CC-201 Operações</t>
        </is>
      </c>
      <c r="G12" s="7" t="inlineStr">
        <is>
          <t>Jantar</t>
        </is>
      </c>
      <c r="H12" s="7" t="inlineStr">
        <is>
          <t>VR</t>
        </is>
      </c>
      <c r="I12" s="6" t="inlineStr">
        <is>
          <t>Sabores do Ceará</t>
        </is>
      </c>
      <c r="J12" s="7" t="inlineStr">
        <is>
          <t>89.012.345/0001-67</t>
        </is>
      </c>
      <c r="K12" s="7" t="inlineStr">
        <is>
          <t>NF-8120</t>
        </is>
      </c>
      <c r="L12" s="30" t="n">
        <v>40</v>
      </c>
      <c r="M12" s="30" t="n">
        <v>32</v>
      </c>
      <c r="N12" s="30" t="n">
        <v>8</v>
      </c>
      <c r="O12" s="33">
        <f>IFERROR(L12-MIN(M12,L12),0)</f>
        <v/>
      </c>
      <c r="P12" s="34">
        <f>IFERROR(M12/L12,0)</f>
        <v/>
      </c>
      <c r="Q12" s="7" t="inlineStr">
        <is>
          <t>Aprovado</t>
        </is>
      </c>
      <c r="R12" s="15">
        <f>IFERROR(VLOOKUP(C12,Cadastro!$A$2:$H$10,4,FALSE),"Não cadastrado")</f>
        <v/>
      </c>
      <c r="S12" s="6" t="inlineStr">
        <is>
          <t>Plantão noturno</t>
        </is>
      </c>
    </row>
    <row r="13">
      <c r="A13" s="4" t="n">
        <v>9</v>
      </c>
      <c r="B13" s="29" t="n">
        <v>46050</v>
      </c>
      <c r="C13" s="6" t="inlineStr">
        <is>
          <t>Lucas Rodrigues</t>
        </is>
      </c>
      <c r="D13" s="4" t="inlineStr">
        <is>
          <t>***.567.***-**</t>
        </is>
      </c>
      <c r="E13" s="6" t="inlineStr">
        <is>
          <t>Brasília</t>
        </is>
      </c>
      <c r="F13" s="7" t="inlineStr">
        <is>
          <t>CC-301 Logística</t>
        </is>
      </c>
      <c r="G13" s="7" t="inlineStr">
        <is>
          <t>Almoço</t>
        </is>
      </c>
      <c r="H13" s="7" t="inlineStr">
        <is>
          <t>Reembolso</t>
        </is>
      </c>
      <c r="I13" s="6" t="inlineStr">
        <is>
          <t>Cantina do Cerrado</t>
        </is>
      </c>
      <c r="J13" s="7" t="inlineStr">
        <is>
          <t>90.123.456/0001-78</t>
        </is>
      </c>
      <c r="K13" s="7" t="inlineStr">
        <is>
          <t>CP-992</t>
        </is>
      </c>
      <c r="L13" s="30" t="n">
        <v>28.5</v>
      </c>
      <c r="M13" s="30" t="n">
        <v>22.8</v>
      </c>
      <c r="N13" s="30" t="n">
        <v>5.7</v>
      </c>
      <c r="O13" s="31">
        <f>IFERROR(L13-MIN(M13,L13),0)</f>
        <v/>
      </c>
      <c r="P13" s="32">
        <f>IFERROR(M13/L13,0)</f>
        <v/>
      </c>
      <c r="Q13" s="7" t="inlineStr">
        <is>
          <t>Pendente</t>
        </is>
      </c>
      <c r="R13" s="11">
        <f>IFERROR(VLOOKUP(C13,Cadastro!$A$2:$H$10,4,FALSE),"Não cadastrado")</f>
        <v/>
      </c>
      <c r="S13" s="6" t="inlineStr">
        <is>
          <t>Validar nota fiscal</t>
        </is>
      </c>
    </row>
  </sheetData>
  <autoFilter ref="A4:S13"/>
  <mergeCells count="2">
    <mergeCell ref="A1:S1"/>
    <mergeCell ref="A2:S2"/>
  </mergeCells>
  <conditionalFormatting sqref="Q5:Q13">
    <cfRule type="expression" priority="1" dxfId="0" stopIfTrue="1">
      <formula>Q5="Aprovado"</formula>
    </cfRule>
    <cfRule type="expression" priority="2" dxfId="1" stopIfTrue="1">
      <formula>OR(Q5="Rejeitado",Q5="Pendente")</formula>
    </cfRule>
  </conditionalFormatting>
  <dataValidations count="4">
    <dataValidation sqref="G5:G13" showErrorMessage="1" showInputMessage="1" allowBlank="1" type="list">
      <formula1>"Almoço,Jantar,Café da manhã,Lanche"</formula1>
    </dataValidation>
    <dataValidation sqref="H5:H13" showErrorMessage="1" showInputMessage="1" allowBlank="1" type="list">
      <formula1>"Restaurante,VR,VA,Reembolso"</formula1>
    </dataValidation>
    <dataValidation sqref="Q5:Q13" showErrorMessage="1" showInputMessage="1" allowBlank="1" type="list">
      <formula1>"Aprovado,Pendente,Rejeitado"</formula1>
    </dataValidation>
    <dataValidation sqref="C5:C13" showErrorMessage="1" showInputMessage="1" allowBlank="1" type="list">
      <formula1>'Cadastro'!$A$2:$A$10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24" customWidth="1" min="3" max="3"/>
    <col width="16" customWidth="1" min="4" max="4"/>
    <col width="20" customWidth="1" min="5" max="5"/>
    <col width="20" customWidth="1" min="6" max="6"/>
    <col width="16" customWidth="1" min="7" max="7"/>
    <col width="10" customWidth="1" min="8" max="8"/>
  </cols>
  <sheetData>
    <row r="1">
      <c r="A1" s="1" t="inlineStr">
        <is>
          <t>Cadastro de Colaboradores e Centros de Custo</t>
        </is>
      </c>
    </row>
    <row r="2">
      <c r="A2" s="2" t="inlineStr">
        <is>
          <t>Base usada nas listas suspensas e consultas de Lançamentos. Mantenha atualizado.</t>
        </is>
      </c>
    </row>
    <row r="3"/>
    <row r="4">
      <c r="A4" s="3" t="inlineStr">
        <is>
          <t>Colaborador</t>
        </is>
      </c>
      <c r="B4" s="3" t="inlineStr">
        <is>
          <t>CPF Parcial</t>
        </is>
      </c>
      <c r="C4" s="3" t="inlineStr">
        <is>
          <t>Cargo</t>
        </is>
      </c>
      <c r="D4" s="3" t="inlineStr">
        <is>
          <t>Departamento</t>
        </is>
      </c>
      <c r="E4" s="3" t="inlineStr">
        <is>
          <t>Centro de Custo</t>
        </is>
      </c>
      <c r="F4" s="3" t="inlineStr">
        <is>
          <t>Limite Mensal Refeição</t>
        </is>
      </c>
      <c r="G4" s="3" t="inlineStr">
        <is>
          <t>% Subsídio Padrão</t>
        </is>
      </c>
      <c r="H4" s="3" t="inlineStr">
        <is>
          <t>Status</t>
        </is>
      </c>
    </row>
    <row r="5">
      <c r="A5" s="6" t="inlineStr">
        <is>
          <t>João Silva</t>
        </is>
      </c>
      <c r="B5" s="7" t="inlineStr">
        <is>
          <t>***.123.***-**</t>
        </is>
      </c>
      <c r="C5" s="6" t="inlineStr">
        <is>
          <t>Analista Financeiro</t>
        </is>
      </c>
      <c r="D5" s="6" t="inlineStr">
        <is>
          <t>Financeiro</t>
        </is>
      </c>
      <c r="E5" s="6" t="inlineStr">
        <is>
          <t>CC-101 Administrativo</t>
        </is>
      </c>
      <c r="F5" s="30" t="n">
        <v>700</v>
      </c>
      <c r="G5" s="35" t="n">
        <v>0.8</v>
      </c>
      <c r="H5" s="7" t="inlineStr">
        <is>
          <t>Ativo</t>
        </is>
      </c>
    </row>
    <row r="6">
      <c r="A6" s="6" t="inlineStr">
        <is>
          <t>Maria Oliveira</t>
        </is>
      </c>
      <c r="B6" s="7" t="inlineStr">
        <is>
          <t>***.456.***-**</t>
        </is>
      </c>
      <c r="C6" s="6" t="inlineStr">
        <is>
          <t>Gerente Comercial</t>
        </is>
      </c>
      <c r="D6" s="6" t="inlineStr">
        <is>
          <t>Comercial</t>
        </is>
      </c>
      <c r="E6" s="6" t="inlineStr">
        <is>
          <t>CC-102 Comercial</t>
        </is>
      </c>
      <c r="F6" s="30" t="n">
        <v>900</v>
      </c>
      <c r="G6" s="35" t="n">
        <v>0.8</v>
      </c>
      <c r="H6" s="7" t="inlineStr">
        <is>
          <t>Ativo</t>
        </is>
      </c>
    </row>
    <row r="7">
      <c r="A7" s="6" t="inlineStr">
        <is>
          <t>Pedro Santos</t>
        </is>
      </c>
      <c r="B7" s="7" t="inlineStr">
        <is>
          <t>***.789.***-**</t>
        </is>
      </c>
      <c r="C7" s="6" t="inlineStr">
        <is>
          <t>Supervisor de Operações</t>
        </is>
      </c>
      <c r="D7" s="6" t="inlineStr">
        <is>
          <t>Operações</t>
        </is>
      </c>
      <c r="E7" s="6" t="inlineStr">
        <is>
          <t>CC-201 Operações</t>
        </is>
      </c>
      <c r="F7" s="30" t="n">
        <v>750</v>
      </c>
      <c r="G7" s="35" t="n">
        <v>0.8</v>
      </c>
      <c r="H7" s="7" t="inlineStr">
        <is>
          <t>Ativo</t>
        </is>
      </c>
    </row>
    <row r="8">
      <c r="A8" s="6" t="inlineStr">
        <is>
          <t>Ana Souza</t>
        </is>
      </c>
      <c r="B8" s="7" t="inlineStr">
        <is>
          <t>***.012.***-**</t>
        </is>
      </c>
      <c r="C8" s="6" t="inlineStr">
        <is>
          <t>Assistente Administrativo</t>
        </is>
      </c>
      <c r="D8" s="6" t="inlineStr">
        <is>
          <t>Administrativo</t>
        </is>
      </c>
      <c r="E8" s="6" t="inlineStr">
        <is>
          <t>CC-101 Administrativo</t>
        </is>
      </c>
      <c r="F8" s="30" t="n">
        <v>600</v>
      </c>
      <c r="G8" s="35" t="n">
        <v>0.8</v>
      </c>
      <c r="H8" s="7" t="inlineStr">
        <is>
          <t>Ativo</t>
        </is>
      </c>
    </row>
    <row r="9">
      <c r="A9" s="6" t="inlineStr">
        <is>
          <t>Carlos Pereira</t>
        </is>
      </c>
      <c r="B9" s="7" t="inlineStr">
        <is>
          <t>***.345.***-**</t>
        </is>
      </c>
      <c r="C9" s="6" t="inlineStr">
        <is>
          <t>Técnico de Campo</t>
        </is>
      </c>
      <c r="D9" s="6" t="inlineStr">
        <is>
          <t>Operações</t>
        </is>
      </c>
      <c r="E9" s="6" t="inlineStr">
        <is>
          <t>CC-201 Operações</t>
        </is>
      </c>
      <c r="F9" s="30" t="n">
        <v>700</v>
      </c>
      <c r="G9" s="35" t="n">
        <v>0.8</v>
      </c>
      <c r="H9" s="7" t="inlineStr">
        <is>
          <t>Ativo</t>
        </is>
      </c>
    </row>
    <row r="10">
      <c r="A10" s="6" t="inlineStr">
        <is>
          <t>Juliana Costa</t>
        </is>
      </c>
      <c r="B10" s="7" t="inlineStr">
        <is>
          <t>***.678.***-**</t>
        </is>
      </c>
      <c r="C10" s="6" t="inlineStr">
        <is>
          <t>Executiva de Vendas</t>
        </is>
      </c>
      <c r="D10" s="6" t="inlineStr">
        <is>
          <t>Comercial</t>
        </is>
      </c>
      <c r="E10" s="6" t="inlineStr">
        <is>
          <t>CC-102 Comercial</t>
        </is>
      </c>
      <c r="F10" s="30" t="n">
        <v>850</v>
      </c>
      <c r="G10" s="35" t="n">
        <v>0.8</v>
      </c>
      <c r="H10" s="7" t="inlineStr">
        <is>
          <t>Ativo</t>
        </is>
      </c>
    </row>
    <row r="11">
      <c r="A11" s="6" t="inlineStr">
        <is>
          <t>Rafael Almeida</t>
        </is>
      </c>
      <c r="B11" s="7" t="inlineStr">
        <is>
          <t>***.901.***-**</t>
        </is>
      </c>
      <c r="C11" s="6" t="inlineStr">
        <is>
          <t>Coordenador de Logística</t>
        </is>
      </c>
      <c r="D11" s="6" t="inlineStr">
        <is>
          <t>Logística</t>
        </is>
      </c>
      <c r="E11" s="6" t="inlineStr">
        <is>
          <t>CC-301 Logística</t>
        </is>
      </c>
      <c r="F11" s="30" t="n">
        <v>800</v>
      </c>
      <c r="G11" s="35" t="n">
        <v>0.8</v>
      </c>
      <c r="H11" s="7" t="inlineStr">
        <is>
          <t>Ativo</t>
        </is>
      </c>
    </row>
    <row r="12">
      <c r="A12" s="6" t="inlineStr">
        <is>
          <t>Camila Ferreira</t>
        </is>
      </c>
      <c r="B12" s="7" t="inlineStr">
        <is>
          <t>***.234.***-**</t>
        </is>
      </c>
      <c r="C12" s="6" t="inlineStr">
        <is>
          <t>Engenheira de Produção</t>
        </is>
      </c>
      <c r="D12" s="6" t="inlineStr">
        <is>
          <t>Operações</t>
        </is>
      </c>
      <c r="E12" s="6" t="inlineStr">
        <is>
          <t>CC-201 Operações</t>
        </is>
      </c>
      <c r="F12" s="30" t="n">
        <v>900</v>
      </c>
      <c r="G12" s="35" t="n">
        <v>0.8</v>
      </c>
      <c r="H12" s="7" t="inlineStr">
        <is>
          <t>Ativo</t>
        </is>
      </c>
    </row>
    <row r="13">
      <c r="A13" s="6" t="inlineStr">
        <is>
          <t>Lucas Rodrigues</t>
        </is>
      </c>
      <c r="B13" s="7" t="inlineStr">
        <is>
          <t>***.567.***-**</t>
        </is>
      </c>
      <c r="C13" s="6" t="inlineStr">
        <is>
          <t>Motorista</t>
        </is>
      </c>
      <c r="D13" s="6" t="inlineStr">
        <is>
          <t>Logística</t>
        </is>
      </c>
      <c r="E13" s="6" t="inlineStr">
        <is>
          <t>CC-301 Logística</t>
        </is>
      </c>
      <c r="F13" s="30" t="n">
        <v>650</v>
      </c>
      <c r="G13" s="35" t="n">
        <v>0.8</v>
      </c>
      <c r="H13" s="7" t="inlineStr">
        <is>
          <t>Ativo</t>
        </is>
      </c>
    </row>
  </sheetData>
  <mergeCells count="2">
    <mergeCell ref="A1:H1"/>
    <mergeCell ref="A2:H2"/>
  </mergeCells>
  <dataValidations count="1">
    <dataValidation sqref="H5:H13" showErrorMessage="1" showInputMessage="1" allowBlank="1" type="list">
      <formula1>"Ativo,Afastado,Desligado"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4" customWidth="1" min="4" max="4"/>
    <col width="16" customWidth="1" min="5" max="5"/>
    <col width="16" customWidth="1" min="6" max="6"/>
    <col width="14" customWidth="1" min="7" max="7"/>
    <col width="14" customWidth="1" min="8" max="8"/>
  </cols>
  <sheetData>
    <row r="1">
      <c r="A1" s="1" t="inlineStr">
        <is>
          <t>Resumo Executivo — Controle de Refeições</t>
        </is>
      </c>
    </row>
    <row r="2">
      <c r="A2" s="2" t="inlineStr">
        <is>
          <t>Visão rápida: quanto a empresa pagou, pendências e distribuição por cidade e modalidade.</t>
        </is>
      </c>
    </row>
    <row r="3"/>
    <row r="4">
      <c r="A4" s="17" t="inlineStr">
        <is>
          <t>Total Pago pela Empresa</t>
        </is>
      </c>
      <c r="C4" s="17" t="inlineStr">
        <is>
          <t>Média por Refeição</t>
        </is>
      </c>
      <c r="E4" s="17" t="inlineStr">
        <is>
          <t>Refeições Aprovadas</t>
        </is>
      </c>
      <c r="G4" s="17" t="inlineStr">
        <is>
          <t>Lançamentos Pendentes</t>
        </is>
      </c>
    </row>
    <row r="5">
      <c r="A5" s="36">
        <f>SUM(Lançamentos!O5:O13)</f>
        <v/>
      </c>
      <c r="B5" s="37" t="n"/>
      <c r="C5" s="36">
        <f>IFERROR(AVERAGE(Lançamentos!L5:L13),0)</f>
        <v/>
      </c>
      <c r="D5" s="37" t="n"/>
      <c r="E5" s="21">
        <f>COUNTIF(Lançamentos!Q5:Q13,"Aprovado")</f>
        <v/>
      </c>
      <c r="F5" s="37" t="n"/>
      <c r="G5" s="21">
        <f>COUNTIF(Lançamentos!Q5:Q13,"Pendente")</f>
        <v/>
      </c>
      <c r="H5" s="37" t="n"/>
    </row>
    <row r="6"/>
    <row r="7">
      <c r="A7" s="17" t="inlineStr">
        <is>
          <t>% Médio Subsidiado</t>
        </is>
      </c>
      <c r="C7" s="17" t="inlineStr">
        <is>
          <t>Total Subsidiado</t>
        </is>
      </c>
      <c r="E7" s="17" t="inlineStr">
        <is>
          <t>Total Descontado Colaboradores</t>
        </is>
      </c>
      <c r="G7" s="17" t="inlineStr">
        <is>
          <t>Lançamentos Rejeitados</t>
        </is>
      </c>
    </row>
    <row r="8">
      <c r="A8" s="38">
        <f>IFERROR(AVERAGE(Lançamentos!P5:P13),0)</f>
        <v/>
      </c>
      <c r="B8" s="37" t="n"/>
      <c r="C8" s="36">
        <f>SUM(Lançamentos!M5:M13)</f>
        <v/>
      </c>
      <c r="D8" s="37" t="n"/>
      <c r="E8" s="36">
        <f>SUM(Lançamentos!N5:N13)</f>
        <v/>
      </c>
      <c r="F8" s="37" t="n"/>
      <c r="G8" s="21">
        <f>COUNTIF(Lançamentos!Q5:Q13,"Rejeitado")</f>
        <v/>
      </c>
      <c r="H8" s="37" t="n"/>
    </row>
    <row r="9"/>
    <row r="10">
      <c r="A10" s="23" t="inlineStr">
        <is>
          <t>Gasto da Empresa por Cidade</t>
        </is>
      </c>
    </row>
    <row r="11">
      <c r="A11" s="3" t="inlineStr">
        <is>
          <t>Cidade</t>
        </is>
      </c>
      <c r="B11" s="3" t="inlineStr">
        <is>
          <t>Total Pago</t>
        </is>
      </c>
      <c r="C11" s="3" t="inlineStr">
        <is>
          <t>Participação</t>
        </is>
      </c>
    </row>
    <row r="12">
      <c r="A12" s="24" t="inlineStr">
        <is>
          <t>São Paulo</t>
        </is>
      </c>
      <c r="B12" s="31">
        <f>IFERROR(SUMIF(Lançamentos!E5:E13,A12,Lançamentos!O5:O13),0)</f>
        <v/>
      </c>
      <c r="C12" s="32">
        <f>IFERROR(B12/SUM($B$12:$B$20),0)</f>
        <v/>
      </c>
    </row>
    <row r="13">
      <c r="A13" s="25" t="inlineStr">
        <is>
          <t>Rio de Janeiro</t>
        </is>
      </c>
      <c r="B13" s="33">
        <f>IFERROR(SUMIF(Lançamentos!E5:E13,A13,Lançamentos!O5:O13),0)</f>
        <v/>
      </c>
      <c r="C13" s="34">
        <f>IFERROR(B13/SUM($B$12:$B$20),0)</f>
        <v/>
      </c>
    </row>
    <row r="14">
      <c r="A14" s="24" t="inlineStr">
        <is>
          <t>Belo Horizonte</t>
        </is>
      </c>
      <c r="B14" s="31">
        <f>IFERROR(SUMIF(Lançamentos!E5:E13,A14,Lançamentos!O5:O13),0)</f>
        <v/>
      </c>
      <c r="C14" s="32">
        <f>IFERROR(B14/SUM($B$12:$B$20),0)</f>
        <v/>
      </c>
    </row>
    <row r="15">
      <c r="A15" s="25" t="inlineStr">
        <is>
          <t>Curitiba</t>
        </is>
      </c>
      <c r="B15" s="33">
        <f>IFERROR(SUMIF(Lançamentos!E5:E13,A15,Lançamentos!O5:O13),0)</f>
        <v/>
      </c>
      <c r="C15" s="34">
        <f>IFERROR(B15/SUM($B$12:$B$20),0)</f>
        <v/>
      </c>
    </row>
    <row r="16">
      <c r="A16" s="24" t="inlineStr">
        <is>
          <t>Porto Alegre</t>
        </is>
      </c>
      <c r="B16" s="31">
        <f>IFERROR(SUMIF(Lançamentos!E5:E13,A16,Lançamentos!O5:O13),0)</f>
        <v/>
      </c>
      <c r="C16" s="32">
        <f>IFERROR(B16/SUM($B$12:$B$20),0)</f>
        <v/>
      </c>
    </row>
    <row r="17">
      <c r="A17" s="25" t="inlineStr">
        <is>
          <t>Salvador</t>
        </is>
      </c>
      <c r="B17" s="33">
        <f>IFERROR(SUMIF(Lançamentos!E5:E13,A17,Lançamentos!O5:O13),0)</f>
        <v/>
      </c>
      <c r="C17" s="34">
        <f>IFERROR(B17/SUM($B$12:$B$20),0)</f>
        <v/>
      </c>
    </row>
    <row r="18">
      <c r="A18" s="24" t="inlineStr">
        <is>
          <t>Recife</t>
        </is>
      </c>
      <c r="B18" s="31">
        <f>IFERROR(SUMIF(Lançamentos!E5:E13,A18,Lançamentos!O5:O13),0)</f>
        <v/>
      </c>
      <c r="C18" s="32">
        <f>IFERROR(B18/SUM($B$12:$B$20),0)</f>
        <v/>
      </c>
    </row>
    <row r="19">
      <c r="A19" s="25" t="inlineStr">
        <is>
          <t>Fortaleza</t>
        </is>
      </c>
      <c r="B19" s="33">
        <f>IFERROR(SUMIF(Lançamentos!E5:E13,A19,Lançamentos!O5:O13),0)</f>
        <v/>
      </c>
      <c r="C19" s="34">
        <f>IFERROR(B19/SUM($B$12:$B$20),0)</f>
        <v/>
      </c>
    </row>
    <row r="20">
      <c r="A20" s="24" t="inlineStr">
        <is>
          <t>Brasília</t>
        </is>
      </c>
      <c r="B20" s="31">
        <f>IFERROR(SUMIF(Lançamentos!E5:E13,A20,Lançamentos!O5:O13),0)</f>
        <v/>
      </c>
      <c r="C20" s="32">
        <f>IFERROR(B20/SUM($B$12:$B$20),0)</f>
        <v/>
      </c>
    </row>
    <row r="21"/>
    <row r="22">
      <c r="A22" s="23" t="inlineStr">
        <is>
          <t>Distribuição por Modalidade</t>
        </is>
      </c>
    </row>
    <row r="23">
      <c r="A23" s="3" t="inlineStr">
        <is>
          <t>Modalidade</t>
        </is>
      </c>
      <c r="B23" s="3" t="inlineStr">
        <is>
          <t>Quantidade</t>
        </is>
      </c>
      <c r="C23" s="3" t="inlineStr">
        <is>
          <t>Valor Pago</t>
        </is>
      </c>
    </row>
    <row r="24">
      <c r="A24" s="25" t="inlineStr">
        <is>
          <t>Restaurante</t>
        </is>
      </c>
      <c r="B24" s="12">
        <f>COUNTIF(Lançamentos!H5:H13,A24)</f>
        <v/>
      </c>
      <c r="C24" s="33">
        <f>IFERROR(SUMIF(Lançamentos!H5:H13,A24,Lançamentos!O5:O13),0)</f>
        <v/>
      </c>
    </row>
    <row r="25">
      <c r="A25" s="25" t="inlineStr">
        <is>
          <t>VR</t>
        </is>
      </c>
      <c r="B25" s="12">
        <f>COUNTIF(Lançamentos!H5:H13,A25)</f>
        <v/>
      </c>
      <c r="C25" s="33">
        <f>IFERROR(SUMIF(Lançamentos!H5:H13,A25,Lançamentos!O5:O13),0)</f>
        <v/>
      </c>
    </row>
    <row r="26">
      <c r="A26" s="25" t="inlineStr">
        <is>
          <t>VA</t>
        </is>
      </c>
      <c r="B26" s="12">
        <f>COUNTIF(Lançamentos!H5:H13,A26)</f>
        <v/>
      </c>
      <c r="C26" s="33">
        <f>IFERROR(SUMIF(Lançamentos!H5:H13,A26,Lançamentos!O5:O13),0)</f>
        <v/>
      </c>
    </row>
    <row r="27">
      <c r="A27" s="25" t="inlineStr">
        <is>
          <t>Reembolso</t>
        </is>
      </c>
      <c r="B27" s="12">
        <f>COUNTIF(Lançamentos!H5:H13,A27)</f>
        <v/>
      </c>
      <c r="C27" s="33">
        <f>IFERROR(SUMIF(Lançamentos!H5:H13,A27,Lançamentos!O5:O13),0)</f>
        <v/>
      </c>
    </row>
    <row r="28"/>
    <row r="29"/>
    <row r="30">
      <c r="A30" s="23" t="inlineStr">
        <is>
          <t>Evolução Diária do Valor Pago</t>
        </is>
      </c>
    </row>
    <row r="31">
      <c r="A31" s="3" t="inlineStr">
        <is>
          <t>Data</t>
        </is>
      </c>
      <c r="B31" s="3" t="inlineStr">
        <is>
          <t>Total Pago</t>
        </is>
      </c>
    </row>
    <row r="32">
      <c r="A32" s="39">
        <f>Lançamentos!B5</f>
        <v/>
      </c>
      <c r="B32" s="33">
        <f>IFERROR(SUMIF(Lançamentos!B5:B13,A32,Lançamentos!O5:O13),0)</f>
        <v/>
      </c>
    </row>
    <row r="33">
      <c r="A33" s="39">
        <f>Lançamentos!B6</f>
        <v/>
      </c>
      <c r="B33" s="33">
        <f>IFERROR(SUMIF(Lançamentos!B5:B13,A33,Lançamentos!O5:O13),0)</f>
        <v/>
      </c>
    </row>
    <row r="34">
      <c r="A34" s="39">
        <f>Lançamentos!B7</f>
        <v/>
      </c>
      <c r="B34" s="33">
        <f>IFERROR(SUMIF(Lançamentos!B5:B13,A34,Lançamentos!O5:O13),0)</f>
        <v/>
      </c>
    </row>
    <row r="35">
      <c r="A35" s="39">
        <f>Lançamentos!B8</f>
        <v/>
      </c>
      <c r="B35" s="33">
        <f>IFERROR(SUMIF(Lançamentos!B5:B13,A35,Lançamentos!O5:O13),0)</f>
        <v/>
      </c>
    </row>
    <row r="36">
      <c r="A36" s="39">
        <f>Lançamentos!B9</f>
        <v/>
      </c>
      <c r="B36" s="33">
        <f>IFERROR(SUMIF(Lançamentos!B5:B13,A36,Lançamentos!O5:O13),0)</f>
        <v/>
      </c>
    </row>
    <row r="37">
      <c r="A37" s="39">
        <f>Lançamentos!B10</f>
        <v/>
      </c>
      <c r="B37" s="33">
        <f>IFERROR(SUMIF(Lançamentos!B5:B13,A37,Lançamentos!O5:O13),0)</f>
        <v/>
      </c>
    </row>
    <row r="38">
      <c r="A38" s="39">
        <f>Lançamentos!B11</f>
        <v/>
      </c>
      <c r="B38" s="33">
        <f>IFERROR(SUMIF(Lançamentos!B5:B13,A38,Lançamentos!O5:O13),0)</f>
        <v/>
      </c>
    </row>
    <row r="39">
      <c r="A39" s="39">
        <f>Lançamentos!B12</f>
        <v/>
      </c>
      <c r="B39" s="33">
        <f>IFERROR(SUMIF(Lançamentos!B5:B13,A39,Lançamentos!O5:O13),0)</f>
        <v/>
      </c>
    </row>
    <row r="40">
      <c r="A40" s="39">
        <f>Lançamentos!B13</f>
        <v/>
      </c>
      <c r="B40" s="33">
        <f>IFERROR(SUMIF(Lançamentos!B5:B13,A40,Lançamentos!O5:O13),0)</f>
        <v/>
      </c>
    </row>
  </sheetData>
  <mergeCells count="18">
    <mergeCell ref="A1:H1"/>
    <mergeCell ref="A2:H2"/>
    <mergeCell ref="A4:B4"/>
    <mergeCell ref="A5:B5"/>
    <mergeCell ref="C4:D4"/>
    <mergeCell ref="C5:D5"/>
    <mergeCell ref="E4:F4"/>
    <mergeCell ref="E5:F5"/>
    <mergeCell ref="G4:H4"/>
    <mergeCell ref="G5:H5"/>
    <mergeCell ref="A7:B7"/>
    <mergeCell ref="A8:B8"/>
    <mergeCell ref="C7:D7"/>
    <mergeCell ref="C8:D8"/>
    <mergeCell ref="E7:F7"/>
    <mergeCell ref="E8:F8"/>
    <mergeCell ref="G7:H7"/>
    <mergeCell ref="G8:H8"/>
  </mergeCells>
  <conditionalFormatting sqref="B12:B20">
    <cfRule type="expression" priority="1" dxfId="2" stopIfTrue="0">
      <formula>B12&gt;0</formula>
    </cfRule>
  </conditionalFormatting>
  <conditionalFormatting sqref="F5:G5">
    <cfRule type="expression" priority="2" dxfId="3" stopIfTrue="0">
      <formula>G5&gt;0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40" customWidth="1" min="1" max="1"/>
    <col width="40" customWidth="1" min="2" max="2"/>
    <col width="40" customWidth="1" min="3" max="3"/>
  </cols>
  <sheetData>
    <row r="1">
      <c r="A1" s="1" t="inlineStr">
        <is>
          <t>Instruções — Controle de Refeições</t>
        </is>
      </c>
    </row>
    <row r="2"/>
    <row r="3">
      <c r="A3" s="27" t="inlineStr">
        <is>
          <t>1. Cadastro de colaboradores</t>
        </is>
      </c>
    </row>
    <row r="4">
      <c r="A4" s="28" t="inlineStr">
        <is>
          <t>Na planilha Cadastro, inclua colaborador, CPF parcial, cargo, departamento, centro de custo, limite mensal e percentual de subsídio. Células amarelas são editáveis. Essa base alimenta as listas suspensas e as consultas de departamento em Lançamentos.</t>
        </is>
      </c>
    </row>
    <row r="5"/>
    <row r="6"/>
    <row r="7">
      <c r="A7" s="27" t="inlineStr">
        <is>
          <t>2. Como lançar refeições</t>
        </is>
      </c>
    </row>
    <row r="8">
      <c r="A8" s="28" t="inlineStr">
        <is>
          <t>Na planilha Lançamentos, preencha data, colaborador (lista suspensa), cidade, centro de custo, tipo de refeição, modalidade, fornecedor, CNPJ, nº da NF-e, valor, subsídio e desconto. As colunas Valor Pago Empresa, % Subsidiado e Departamento são calculadas automaticamente.</t>
        </is>
      </c>
    </row>
    <row r="9"/>
    <row r="10"/>
    <row r="11">
      <c r="A11" s="27" t="inlineStr">
        <is>
          <t>3. Valor, subsídio e desconto</t>
        </is>
      </c>
    </row>
    <row r="12">
      <c r="A12" s="28" t="inlineStr">
        <is>
          <t>Valor da refeição é o total do gasto. Subsídio é a parte que a empresa arca. Desconto é a parte debitada do colaborador. Valor pago pela empresa = valor da refeição menos o menor valor entre subsídio e valor total, evitando subsídio maior que o gasto.</t>
        </is>
      </c>
    </row>
    <row r="13"/>
    <row r="14"/>
    <row r="15">
      <c r="A15" s="27" t="inlineStr">
        <is>
          <t>4. NF-e, comprovantes e CNPJ</t>
        </is>
      </c>
    </row>
    <row r="16">
      <c r="A16" s="28" t="inlineStr">
        <is>
          <t>Sempre registre o CNPJ do fornecedor e o número da NF-e ou comprovante. Reembolsos sem comprovante válido devem ficar como Pendente até a entrega do documento fiscal.</t>
        </is>
      </c>
    </row>
    <row r="17"/>
    <row r="18"/>
    <row r="19">
      <c r="A19" s="27" t="inlineStr">
        <is>
          <t>5. Aprovação e limites</t>
        </is>
      </c>
    </row>
    <row r="20">
      <c r="A20" s="28" t="inlineStr">
        <is>
          <t>Status Aprovado: dentro do limite e com documento válido. Pendente: aguardando documento ou conferência. Rejeitado: acima do limite diário/mensal, fora da política ou sem comprovante. Compare o acumulado do mês com o limite do Cadastro antes de aprovar.</t>
        </is>
      </c>
    </row>
    <row r="21"/>
    <row r="22"/>
    <row r="23">
      <c r="A23" s="27" t="inlineStr">
        <is>
          <t>6. LGPD / ANPD</t>
        </is>
      </c>
    </row>
    <row r="24">
      <c r="A24" s="28" t="inlineStr">
        <is>
          <t>Use apenas CPF parcial (mascarado) conforme boas práticas de minimização de dados. Restrinja o acesso ao arquivo, não compartilhe dados pessoais sem necessidade legítima e descarte registros após o prazo legal de retenção. Trate dados de colaboradores conforme a base legal de execução de contrato.</t>
        </is>
      </c>
    </row>
    <row r="25"/>
    <row r="26"/>
    <row r="27">
      <c r="A27" s="27" t="inlineStr">
        <is>
          <t>7. Resumo e gráficos</t>
        </is>
      </c>
    </row>
    <row r="28">
      <c r="A28" s="28" t="inlineStr">
        <is>
          <t>A planilha Resumo consolida totais, pendências, participação por cidade e modalidade, com gráficos de colunas, pizza e linha. Os indicadores em vermelho sinalizam rejeições e pendências que exigem ação imediata.</t>
        </is>
      </c>
    </row>
    <row r="29"/>
  </sheetData>
  <mergeCells count="15">
    <mergeCell ref="A1:C1"/>
    <mergeCell ref="A3:C3"/>
    <mergeCell ref="A4:C5"/>
    <mergeCell ref="A7:C7"/>
    <mergeCell ref="A8:C9"/>
    <mergeCell ref="A11:C11"/>
    <mergeCell ref="A12:C13"/>
    <mergeCell ref="A15:C15"/>
    <mergeCell ref="A16:C17"/>
    <mergeCell ref="A19:C19"/>
    <mergeCell ref="A20:C21"/>
    <mergeCell ref="A23:C23"/>
    <mergeCell ref="A24:C25"/>
    <mergeCell ref="A27:C27"/>
    <mergeCell ref="A28:C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2026-08-01T16:54:07Z</dcterms:created>
  <dcterms:modified xmlns:dcterms="http://purl.org/dc/terms/" xmlns:xsi="http://www.w3.org/2001/XMLSchema-instance" xsi:type="dcterms:W3CDTF">2026-08-01T16:54:07Z</dcterms:modified>
</cp:coreProperties>
</file>