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ainel_Logístico" sheetId="1" state="visible" r:id="rId1"/>
    <sheet xmlns:r="http://schemas.openxmlformats.org/officeDocument/2006/relationships" name="Base_Entregas" sheetId="2" state="visible" r:id="rId2"/>
    <sheet xmlns:r="http://schemas.openxmlformats.org/officeDocument/2006/relationships" name="Resumo_Operacional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DD/MM/AAAA"/>
    <numFmt numFmtId="165" formatCode="0.0%"/>
    <numFmt numFmtId="166" formatCode="&quot;R$&quot; #.##0,00"/>
    <numFmt numFmtId="167" formatCode="0.0"/>
  </numFmts>
  <fonts count="6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1F2937"/>
      <sz val="10"/>
    </font>
    <font>
      <name val="Calibri"/>
      <color rgb="001F2937"/>
      <sz val="10"/>
    </font>
    <font>
      <name val="Calibri"/>
      <b val="1"/>
      <color rgb="00FFFFFF"/>
      <sz val="12"/>
    </font>
    <font>
      <name val="Calibri"/>
      <b val="1"/>
      <color rgb="00FFFFFF"/>
      <sz val="11"/>
    </font>
  </fonts>
  <fills count="7">
    <fill>
      <patternFill/>
    </fill>
    <fill>
      <patternFill patternType="gray125"/>
    </fill>
    <fill>
      <patternFill patternType="solid">
        <fgColor rgb="00C8102E"/>
        <bgColor rgb="00C8102E"/>
      </patternFill>
    </fill>
    <fill>
      <patternFill patternType="solid">
        <fgColor rgb="00FFFFFF"/>
        <bgColor rgb="00FFFFFF"/>
      </patternFill>
    </fill>
    <fill>
      <patternFill patternType="solid">
        <fgColor rgb="00F8FAFC"/>
        <bgColor rgb="00F8FAFC"/>
      </patternFill>
    </fill>
    <fill>
      <patternFill patternType="solid">
        <fgColor rgb="001E293B"/>
        <bgColor rgb="001E293B"/>
      </patternFill>
    </fill>
    <fill>
      <patternFill patternType="solid">
        <fgColor rgb="00FFFBEB"/>
        <bgColor rgb="00FFFBEB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pivotButton="0" quotePrefix="0" xfId="0"/>
    <xf numFmtId="164" fontId="3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2" fillId="3" borderId="1" pivotButton="0" quotePrefix="0" xfId="0"/>
    <xf numFmtId="0" fontId="0" fillId="0" borderId="4" pivotButton="0" quotePrefix="0" xfId="0"/>
    <xf numFmtId="0" fontId="3" fillId="3" borderId="1" pivotButton="0" quotePrefix="0" xfId="0"/>
    <xf numFmtId="0" fontId="2" fillId="4" borderId="1" pivotButton="0" quotePrefix="0" xfId="0"/>
    <xf numFmtId="0" fontId="3" fillId="4" borderId="1" pivotButton="0" quotePrefix="0" xfId="0"/>
    <xf numFmtId="165" fontId="3" fillId="4" borderId="1" pivotButton="0" quotePrefix="0" xfId="0"/>
    <xf numFmtId="166" fontId="3" fillId="3" borderId="1" pivotButton="0" quotePrefix="0" xfId="0"/>
    <xf numFmtId="166" fontId="3" fillId="4" borderId="1" pivotButton="0" quotePrefix="0" xfId="0"/>
    <xf numFmtId="167" fontId="3" fillId="3" borderId="1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4" borderId="1" pivotButton="0" quotePrefix="0" xfId="0"/>
    <xf numFmtId="166" fontId="0" fillId="4" borderId="1" pivotButton="0" quotePrefix="0" xfId="0"/>
    <xf numFmtId="0" fontId="0" fillId="3" borderId="1" pivotButton="0" quotePrefix="0" xfId="0"/>
    <xf numFmtId="166" fontId="0" fillId="3" borderId="1" pivotButton="0" quotePrefix="0" xfId="0"/>
    <xf numFmtId="0" fontId="5" fillId="5" borderId="1" applyAlignment="1" pivotButton="0" quotePrefix="0" xfId="0">
      <alignment horizontal="center" vertical="center" wrapText="1"/>
    </xf>
    <xf numFmtId="164" fontId="3" fillId="3" borderId="1" pivotButton="0" quotePrefix="0" xfId="0"/>
    <xf numFmtId="1" fontId="3" fillId="3" borderId="1" pivotButton="0" quotePrefix="0" xfId="0"/>
    <xf numFmtId="166" fontId="3" fillId="6" borderId="1" pivotButton="0" quotePrefix="0" xfId="0"/>
    <xf numFmtId="0" fontId="3" fillId="6" borderId="1" pivotButton="0" quotePrefix="0" xfId="0"/>
    <xf numFmtId="164" fontId="3" fillId="4" borderId="1" pivotButton="0" quotePrefix="0" xfId="0"/>
    <xf numFmtId="167" fontId="3" fillId="4" borderId="1" pivotButton="0" quotePrefix="0" xfId="0"/>
    <xf numFmtId="1" fontId="3" fillId="4" borderId="1" pivotButton="0" quotePrefix="0" xfId="0"/>
    <xf numFmtId="165" fontId="3" fillId="3" borderId="1" pivotButton="0" quotePrefix="0" xfId="0"/>
    <xf numFmtId="0" fontId="0" fillId="6" borderId="1" pivotButton="0" quotePrefix="0" xfId="0"/>
    <xf numFmtId="0" fontId="4" fillId="2" borderId="0" applyAlignment="1" pivotButton="0" quotePrefix="0" xfId="0">
      <alignment horizontal="left" vertical="center"/>
    </xf>
    <xf numFmtId="0" fontId="3" fillId="4" borderId="0" pivotButton="0" quotePrefix="0" xfId="0"/>
    <xf numFmtId="0" fontId="3" fillId="4" borderId="0" applyAlignment="1" pivotButton="0" quotePrefix="0" xfId="0">
      <alignment vertical="center" wrapText="1"/>
    </xf>
    <xf numFmtId="0" fontId="3" fillId="3" borderId="0" pivotButton="0" quotePrefix="0" xfId="0"/>
    <xf numFmtId="0" fontId="3" fillId="3" borderId="0" applyAlignment="1" pivotButton="0" quotePrefix="0" xfId="0">
      <alignment vertical="center" wrapText="1"/>
    </xf>
  </cellXfs>
  <cellStyles count="1">
    <cellStyle name="Normal" xfId="0" builtinId="0" hidden="0"/>
  </cellStyles>
  <dxfs count="4">
    <dxf>
      <font>
        <b val="1"/>
        <color rgb="00FFFFFF"/>
      </font>
      <fill>
        <patternFill patternType="solid">
          <fgColor rgb="0016A34A"/>
          <bgColor rgb="0016A34A"/>
        </patternFill>
      </fill>
    </dxf>
    <dxf>
      <font>
        <b val="1"/>
        <color rgb="00FFFFFF"/>
      </font>
      <fill>
        <patternFill patternType="solid">
          <fgColor rgb="00DC2626"/>
          <bgColor rgb="00DC2626"/>
        </patternFill>
      </fill>
    </dxf>
    <dxf>
      <font>
        <b val="1"/>
        <color rgb="001F2937"/>
      </font>
      <fill>
        <patternFill patternType="solid">
          <fgColor rgb="00FDE68A"/>
          <bgColor rgb="00FDE68A"/>
        </patternFill>
      </fill>
    </dxf>
    <dxf>
      <font>
        <b val="1"/>
        <color rgb="001F2937"/>
      </font>
      <fill>
        <patternFill patternType="solid">
          <fgColor rgb="00CBD5E1"/>
          <bgColor rgb="00CBD5E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Entregas por Status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'Painel_Logístico'!B13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'Painel_Logístico'!$A$14:$A$17</f>
            </numRef>
          </cat>
          <val>
            <numRef>
              <f>'Painel_Logístico'!$B$14:$B$17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Quantidade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Evolução Semanal do Custo de Frete</a:t>
            </a:r>
          </a:p>
        </rich>
      </tx>
    </title>
    <plotArea>
      <lineChart>
        <grouping val="standard"/>
        <ser>
          <idx val="0"/>
          <order val="0"/>
          <tx>
            <strRef>
              <f>'Painel_Logístico'!E13</f>
            </strRef>
          </tx>
          <spPr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'Painel_Logístico'!$D$14:$D$16</f>
            </numRef>
          </cat>
          <val>
            <numRef>
              <f>'Painel_Logístico'!$E$14:$E$16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Semana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Custo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Participação das Transportadoras (Custo)</a:t>
            </a:r>
          </a:p>
        </rich>
      </tx>
    </title>
    <plotArea>
      <pieChart>
        <varyColors val="1"/>
        <ser>
          <idx val="0"/>
          <order val="0"/>
          <tx>
            <strRef>
              <f>'Painel_Logístico'!B19</f>
            </strRef>
          </tx>
          <spPr>
            <a:ln xmlns:a="http://schemas.openxmlformats.org/drawingml/2006/main">
              <a:prstDash val="solid"/>
            </a:ln>
          </spPr>
          <cat>
            <numRef>
              <f>'Painel_Logístico'!$A$20:$A$24</f>
            </numRef>
          </cat>
          <val>
            <numRef>
              <f>'Painel_Logístico'!$B$20:$B$24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3</col>
      <colOff>0</colOff>
      <row>12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27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27</row>
      <rowOff>0</rowOff>
    </from>
    <ext cx="5400000" cy="27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4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6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30" customHeight="1">
      <c r="A1" s="1" t="inlineStr">
        <is>
          <t>PAINEL LOGÍSTICO - CONTROLE DE ENTREGAS 2026</t>
        </is>
      </c>
    </row>
    <row r="2">
      <c r="A2" s="2" t="inlineStr">
        <is>
          <t>Atualizado em:</t>
        </is>
      </c>
      <c r="B2" s="3">
        <f>TODAY()</f>
        <v/>
      </c>
    </row>
    <row r="3"/>
    <row r="4" ht="22" customHeight="1">
      <c r="A4" s="4" t="inlineStr">
        <is>
          <t>INDICADORES PRINCIPAIS</t>
        </is>
      </c>
    </row>
    <row r="5">
      <c r="A5" s="5" t="inlineStr">
        <is>
          <t>Total de entregas</t>
        </is>
      </c>
      <c r="B5" s="6" t="n"/>
      <c r="C5" s="7">
        <f>COUNTA(Base_Entregas!A2:A11)</f>
        <v/>
      </c>
    </row>
    <row r="6">
      <c r="A6" s="8" t="inlineStr">
        <is>
          <t>Entregas no prazo</t>
        </is>
      </c>
      <c r="B6" s="6" t="n"/>
      <c r="C6" s="9">
        <f>COUNTIF(Base_Entregas!P2:P11,"Sim")</f>
        <v/>
      </c>
    </row>
    <row r="7">
      <c r="A7" s="5" t="inlineStr">
        <is>
          <t>Entregas em atraso</t>
        </is>
      </c>
      <c r="B7" s="6" t="n"/>
      <c r="C7" s="7">
        <f>COUNTIF(Base_Entregas!M2:M11,"Atrasado")</f>
        <v/>
      </c>
    </row>
    <row r="8">
      <c r="A8" s="8" t="inlineStr">
        <is>
          <t>Taxa de pontualidade</t>
        </is>
      </c>
      <c r="B8" s="6" t="n"/>
      <c r="C8" s="10">
        <f>IFERROR(COUNTIF(Base_Entregas!P2:P11,"Sim")/(COUNTIF(Base_Entregas!P2:P11,"Sim")+COUNTIF(Base_Entregas!P2:P11,"Não")),0)</f>
        <v/>
      </c>
    </row>
    <row r="9">
      <c r="A9" s="5" t="inlineStr">
        <is>
          <t>Custo total de frete</t>
        </is>
      </c>
      <c r="B9" s="6" t="n"/>
      <c r="C9" s="11">
        <f>SUM(Base_Entregas!L2:L11)</f>
        <v/>
      </c>
    </row>
    <row r="10">
      <c r="A10" s="8" t="inlineStr">
        <is>
          <t>Custo médio por entrega</t>
        </is>
      </c>
      <c r="B10" s="6" t="n"/>
      <c r="C10" s="12">
        <f>IFERROR(AVERAGE(Base_Entregas!L2:L11),0)</f>
        <v/>
      </c>
    </row>
    <row r="11">
      <c r="A11" s="5" t="inlineStr">
        <is>
          <t>Volume total transportado (m³)</t>
        </is>
      </c>
      <c r="B11" s="6" t="n"/>
      <c r="C11" s="13">
        <f>SUM(Base_Entregas!J2:J11)</f>
        <v/>
      </c>
    </row>
    <row r="12"/>
    <row r="13">
      <c r="A13" s="14" t="inlineStr">
        <is>
          <t>Status</t>
        </is>
      </c>
      <c r="B13" s="14" t="inlineStr">
        <is>
          <t>Quantidade</t>
        </is>
      </c>
      <c r="D13" s="14" t="inlineStr">
        <is>
          <t>Semana</t>
        </is>
      </c>
      <c r="E13" s="14" t="inlineStr">
        <is>
          <t>Custo Frete (R$)</t>
        </is>
      </c>
    </row>
    <row r="14">
      <c r="A14" s="15" t="inlineStr">
        <is>
          <t>Pendente</t>
        </is>
      </c>
      <c r="B14" s="15">
        <f>COUNTIF(Base_Entregas!$M$2:$M$11,"Pendente")</f>
        <v/>
      </c>
      <c r="D14" s="15" t="inlineStr">
        <is>
          <t>Semana 1 (05-11/01)</t>
        </is>
      </c>
      <c r="E14" s="16">
        <f>SUMIFS(Base_Entregas!$L$2:$L$11,Base_Entregas!$B$2:$B$11,"&gt;="&amp;DATE(2026,1,5),Base_Entregas!$B$2:$B$11,"&lt;="&amp;DATE(2026,1,11))</f>
        <v/>
      </c>
    </row>
    <row r="15">
      <c r="A15" s="17" t="inlineStr">
        <is>
          <t>Em trânsito</t>
        </is>
      </c>
      <c r="B15" s="17">
        <f>COUNTIF(Base_Entregas!$M$2:$M$11,"Em trânsito")</f>
        <v/>
      </c>
      <c r="D15" s="17" t="inlineStr">
        <is>
          <t>Semana 2 (12-18/01)</t>
        </is>
      </c>
      <c r="E15" s="18">
        <f>SUMIFS(Base_Entregas!$L$2:$L$11,Base_Entregas!$B$2:$B$11,"&gt;="&amp;DATE(2026,1,12),Base_Entregas!$B$2:$B$11,"&lt;="&amp;DATE(2026,1,18))</f>
        <v/>
      </c>
    </row>
    <row r="16">
      <c r="A16" s="15" t="inlineStr">
        <is>
          <t>Entregue</t>
        </is>
      </c>
      <c r="B16" s="15">
        <f>COUNTIF(Base_Entregas!$M$2:$M$11,"Entregue")</f>
        <v/>
      </c>
      <c r="D16" s="15" t="inlineStr">
        <is>
          <t>Semana 3 (19-25/01)</t>
        </is>
      </c>
      <c r="E16" s="16">
        <f>SUMIFS(Base_Entregas!$L$2:$L$11,Base_Entregas!$B$2:$B$11,"&gt;="&amp;DATE(2026,1,19),Base_Entregas!$B$2:$B$11,"&lt;="&amp;DATE(2026,1,25))</f>
        <v/>
      </c>
    </row>
    <row r="17">
      <c r="A17" s="17" t="inlineStr">
        <is>
          <t>Atrasado</t>
        </is>
      </c>
      <c r="B17" s="17">
        <f>COUNTIF(Base_Entregas!$M$2:$M$11,"Atrasado")</f>
        <v/>
      </c>
    </row>
    <row r="18"/>
    <row r="19">
      <c r="A19" s="14" t="inlineStr">
        <is>
          <t>Transportadora</t>
        </is>
      </c>
      <c r="B19" s="14" t="inlineStr">
        <is>
          <t>Custo Total (R$)</t>
        </is>
      </c>
    </row>
    <row r="20">
      <c r="A20" s="15" t="inlineStr">
        <is>
          <t>LogSul</t>
        </is>
      </c>
      <c r="B20" s="16">
        <f>SUMIF(Base_Entregas!$G$2:$G$11,"LogSul",Base_Entregas!$L$2:$L$11)</f>
        <v/>
      </c>
    </row>
    <row r="21">
      <c r="A21" s="17" t="inlineStr">
        <is>
          <t>Brasil Express</t>
        </is>
      </c>
      <c r="B21" s="18">
        <f>SUMIF(Base_Entregas!$G$2:$G$11,"Brasil Express",Base_Entregas!$L$2:$L$11)</f>
        <v/>
      </c>
    </row>
    <row r="22">
      <c r="A22" s="15" t="inlineStr">
        <is>
          <t>RodoNorte</t>
        </is>
      </c>
      <c r="B22" s="16">
        <f>SUMIF(Base_Entregas!$G$2:$G$11,"RodoNorte",Base_Entregas!$L$2:$L$11)</f>
        <v/>
      </c>
    </row>
    <row r="23">
      <c r="A23" s="17" t="inlineStr">
        <is>
          <t>JET Carga</t>
        </is>
      </c>
      <c r="B23" s="18">
        <f>SUMIF(Base_Entregas!$G$2:$G$11,"JET Carga",Base_Entregas!$L$2:$L$11)</f>
        <v/>
      </c>
    </row>
    <row r="24">
      <c r="A24" s="15" t="inlineStr">
        <is>
          <t>ViaRápida</t>
        </is>
      </c>
      <c r="B24" s="16">
        <f>SUMIF(Base_Entregas!$G$2:$G$11,"ViaRápida",Base_Entregas!$L$2:$L$11)</f>
        <v/>
      </c>
    </row>
  </sheetData>
  <mergeCells count="9">
    <mergeCell ref="A1:H1"/>
    <mergeCell ref="A4:C4"/>
    <mergeCell ref="A5:B5"/>
    <mergeCell ref="A6:B6"/>
    <mergeCell ref="A7:B7"/>
    <mergeCell ref="A8:B8"/>
    <mergeCell ref="A9:B9"/>
    <mergeCell ref="A10:B10"/>
    <mergeCell ref="A11:B11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R1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6" customWidth="1" min="3" max="3"/>
    <col width="16" customWidth="1" min="4" max="4"/>
    <col width="18" customWidth="1" min="5" max="5"/>
    <col width="18" customWidth="1" min="6" max="6"/>
    <col width="16" customWidth="1" min="7" max="7"/>
    <col width="14" customWidth="1" min="8" max="8"/>
    <col width="12" customWidth="1" min="9" max="9"/>
    <col width="12" customWidth="1" min="10" max="10"/>
    <col width="12" customWidth="1" min="11" max="11"/>
    <col width="15" customWidth="1" min="12" max="12"/>
    <col width="13" customWidth="1" min="13" max="13"/>
    <col width="12" customWidth="1" min="14" max="14"/>
    <col width="13" customWidth="1" min="15" max="15"/>
    <col width="10" customWidth="1" min="16" max="16"/>
    <col width="30" customWidth="1" min="17" max="17"/>
    <col width="13" customWidth="1" min="18" max="18"/>
  </cols>
  <sheetData>
    <row r="1" ht="32" customHeight="1">
      <c r="A1" s="19" t="inlineStr">
        <is>
          <t>Nº Pedido</t>
        </is>
      </c>
      <c r="B1" s="19" t="inlineStr">
        <is>
          <t>Data de Coleta</t>
        </is>
      </c>
      <c r="C1" s="19" t="inlineStr">
        <is>
          <t>Data Prevista Entrega</t>
        </is>
      </c>
      <c r="D1" s="19" t="inlineStr">
        <is>
          <t>Data Real Entrega</t>
        </is>
      </c>
      <c r="E1" s="19" t="inlineStr">
        <is>
          <t>Cliente</t>
        </is>
      </c>
      <c r="F1" s="19" t="inlineStr">
        <is>
          <t>Cidade/UF</t>
        </is>
      </c>
      <c r="G1" s="19" t="inlineStr">
        <is>
          <t>Transportadora</t>
        </is>
      </c>
      <c r="H1" s="19" t="inlineStr">
        <is>
          <t>Modalidade</t>
        </is>
      </c>
      <c r="I1" s="19" t="inlineStr">
        <is>
          <t>NF-e</t>
        </is>
      </c>
      <c r="J1" s="19" t="inlineStr">
        <is>
          <t>Volume (m³)</t>
        </is>
      </c>
      <c r="K1" s="19" t="inlineStr">
        <is>
          <t>Peso (kg)</t>
        </is>
      </c>
      <c r="L1" s="19" t="inlineStr">
        <is>
          <t>Custo do Frete (R$)</t>
        </is>
      </c>
      <c r="M1" s="19" t="inlineStr">
        <is>
          <t>Status</t>
        </is>
      </c>
      <c r="N1" s="19" t="inlineStr">
        <is>
          <t>SLA (dias)</t>
        </is>
      </c>
      <c r="O1" s="19" t="inlineStr">
        <is>
          <t>Atraso (dias)</t>
        </is>
      </c>
      <c r="P1" s="19" t="inlineStr">
        <is>
          <t>Pontual?</t>
        </is>
      </c>
      <c r="Q1" s="19" t="inlineStr">
        <is>
          <t>Observações</t>
        </is>
      </c>
      <c r="R1" s="19" t="inlineStr">
        <is>
          <t>Custo/kg (R$)</t>
        </is>
      </c>
    </row>
    <row r="2">
      <c r="A2" s="7" t="inlineStr">
        <is>
          <t>PED-1001</t>
        </is>
      </c>
      <c r="B2" s="20" t="n">
        <v>46027</v>
      </c>
      <c r="C2" s="20" t="n">
        <v>46032</v>
      </c>
      <c r="D2" s="20" t="n">
        <v>46031</v>
      </c>
      <c r="E2" s="7" t="inlineStr">
        <is>
          <t>João Silva</t>
        </is>
      </c>
      <c r="F2" s="7" t="inlineStr">
        <is>
          <t>São Paulo/SP</t>
        </is>
      </c>
      <c r="G2" s="7" t="inlineStr">
        <is>
          <t>LogSul</t>
        </is>
      </c>
      <c r="H2" s="7" t="inlineStr">
        <is>
          <t>Rodoviário</t>
        </is>
      </c>
      <c r="I2" s="7" t="inlineStr">
        <is>
          <t>NF-000123</t>
        </is>
      </c>
      <c r="J2" s="13" t="n">
        <v>1.2</v>
      </c>
      <c r="K2" s="21" t="n">
        <v>350</v>
      </c>
      <c r="L2" s="22" t="n">
        <v>450</v>
      </c>
      <c r="M2" s="23" t="inlineStr">
        <is>
          <t>Entregue</t>
        </is>
      </c>
      <c r="N2" s="21">
        <f>C2-B2</f>
        <v/>
      </c>
      <c r="O2" s="21">
        <f>IF(OR(D2="",C2=""),"",D2-C2)</f>
        <v/>
      </c>
      <c r="P2" s="7">
        <f>IF(OR(D2="",C2=""),"",IF(D2&lt;=C2,"Sim","Não"))</f>
        <v/>
      </c>
      <c r="Q2" s="7" t="inlineStr">
        <is>
          <t>Carga fracionada, entrega antecipada</t>
        </is>
      </c>
      <c r="R2" s="11">
        <f>IFERROR(L2/K2,0)</f>
        <v/>
      </c>
    </row>
    <row r="3">
      <c r="A3" s="9" t="inlineStr">
        <is>
          <t>PED-1002</t>
        </is>
      </c>
      <c r="B3" s="24" t="n">
        <v>46028</v>
      </c>
      <c r="C3" s="24" t="n">
        <v>46034</v>
      </c>
      <c r="D3" s="24" t="n">
        <v>46037</v>
      </c>
      <c r="E3" s="9" t="inlineStr">
        <is>
          <t>Maria Oliveira</t>
        </is>
      </c>
      <c r="F3" s="9" t="inlineStr">
        <is>
          <t>Rio de Janeiro/RJ</t>
        </is>
      </c>
      <c r="G3" s="9" t="inlineStr">
        <is>
          <t>Brasil Express</t>
        </is>
      </c>
      <c r="H3" s="9" t="inlineStr">
        <is>
          <t>Rodoviário</t>
        </is>
      </c>
      <c r="I3" s="9" t="inlineStr">
        <is>
          <t>NF-000124</t>
        </is>
      </c>
      <c r="J3" s="25" t="n">
        <v>2.5</v>
      </c>
      <c r="K3" s="26" t="n">
        <v>780</v>
      </c>
      <c r="L3" s="22" t="n">
        <v>890</v>
      </c>
      <c r="M3" s="23" t="inlineStr">
        <is>
          <t>Atrasado</t>
        </is>
      </c>
      <c r="N3" s="26">
        <f>C3-B3</f>
        <v/>
      </c>
      <c r="O3" s="26">
        <f>IF(OR(D3="",C3=""),"",D3-C3)</f>
        <v/>
      </c>
      <c r="P3" s="9">
        <f>IF(OR(D3="",C3=""),"",IF(D3&lt;=C3,"Sim","Não"))</f>
        <v/>
      </c>
      <c r="Q3" s="9" t="inlineStr">
        <is>
          <t>Atraso por trânsito na BR-116</t>
        </is>
      </c>
      <c r="R3" s="12">
        <f>IFERROR(L3/K3,0)</f>
        <v/>
      </c>
    </row>
    <row r="4">
      <c r="A4" s="7" t="inlineStr">
        <is>
          <t>PED-1003</t>
        </is>
      </c>
      <c r="B4" s="20" t="n">
        <v>46030</v>
      </c>
      <c r="C4" s="20" t="n">
        <v>46033</v>
      </c>
      <c r="D4" s="7" t="n"/>
      <c r="E4" s="7" t="inlineStr">
        <is>
          <t>Pedro Santos</t>
        </is>
      </c>
      <c r="F4" s="7" t="inlineStr">
        <is>
          <t>Belo Horizonte/MG</t>
        </is>
      </c>
      <c r="G4" s="7" t="inlineStr">
        <is>
          <t>RodoNorte</t>
        </is>
      </c>
      <c r="H4" s="7" t="inlineStr">
        <is>
          <t>Last Mile</t>
        </is>
      </c>
      <c r="I4" s="7" t="inlineStr">
        <is>
          <t>NF-000125</t>
        </is>
      </c>
      <c r="J4" s="13" t="n">
        <v>0.8</v>
      </c>
      <c r="K4" s="21" t="n">
        <v>210</v>
      </c>
      <c r="L4" s="22" t="n">
        <v>220</v>
      </c>
      <c r="M4" s="23" t="inlineStr">
        <is>
          <t>Em trânsito</t>
        </is>
      </c>
      <c r="N4" s="21">
        <f>C4-B4</f>
        <v/>
      </c>
      <c r="O4" s="21">
        <f>IF(OR(D4="",C4=""),"",D4-C4)</f>
        <v/>
      </c>
      <c r="P4" s="7">
        <f>IF(OR(D4="",C4=""),"",IF(D4&lt;=C4,"Sim","Não"))</f>
        <v/>
      </c>
      <c r="Q4" s="7" t="inlineStr">
        <is>
          <t>Última milha em andamento</t>
        </is>
      </c>
      <c r="R4" s="11">
        <f>IFERROR(L4/K4,0)</f>
        <v/>
      </c>
    </row>
    <row r="5">
      <c r="A5" s="9" t="inlineStr">
        <is>
          <t>PED-1004</t>
        </is>
      </c>
      <c r="B5" s="24" t="n">
        <v>46032</v>
      </c>
      <c r="C5" s="24" t="n">
        <v>46036</v>
      </c>
      <c r="D5" s="9" t="n"/>
      <c r="E5" s="9" t="inlineStr">
        <is>
          <t>Ana Souza</t>
        </is>
      </c>
      <c r="F5" s="9" t="inlineStr">
        <is>
          <t>Curitiba/PR</t>
        </is>
      </c>
      <c r="G5" s="9" t="inlineStr">
        <is>
          <t>JET Carga</t>
        </is>
      </c>
      <c r="H5" s="9" t="inlineStr">
        <is>
          <t>Aéreo</t>
        </is>
      </c>
      <c r="I5" s="9" t="inlineStr">
        <is>
          <t>NF-000126</t>
        </is>
      </c>
      <c r="J5" s="25" t="n">
        <v>0.5</v>
      </c>
      <c r="K5" s="26" t="n">
        <v>90</v>
      </c>
      <c r="L5" s="22" t="n">
        <v>610</v>
      </c>
      <c r="M5" s="23" t="inlineStr">
        <is>
          <t>Pendente</t>
        </is>
      </c>
      <c r="N5" s="26">
        <f>C5-B5</f>
        <v/>
      </c>
      <c r="O5" s="26">
        <f>IF(OR(D5="",C5=""),"",D5-C5)</f>
        <v/>
      </c>
      <c r="P5" s="9">
        <f>IF(OR(D5="",C5=""),"",IF(D5&lt;=C5,"Sim","Não"))</f>
        <v/>
      </c>
      <c r="Q5" s="9" t="inlineStr">
        <is>
          <t>Aguardando liberação fiscal</t>
        </is>
      </c>
      <c r="R5" s="12">
        <f>IFERROR(L5/K5,0)</f>
        <v/>
      </c>
    </row>
    <row r="6">
      <c r="A6" s="7" t="inlineStr">
        <is>
          <t>PED-1005</t>
        </is>
      </c>
      <c r="B6" s="20" t="n">
        <v>46034</v>
      </c>
      <c r="C6" s="20" t="n">
        <v>46038</v>
      </c>
      <c r="D6" s="20" t="n">
        <v>46038</v>
      </c>
      <c r="E6" s="7" t="inlineStr">
        <is>
          <t>Carlos Pereira</t>
        </is>
      </c>
      <c r="F6" s="7" t="inlineStr">
        <is>
          <t>Porto Alegre/RS</t>
        </is>
      </c>
      <c r="G6" s="7" t="inlineStr">
        <is>
          <t>ViaRápida</t>
        </is>
      </c>
      <c r="H6" s="7" t="inlineStr">
        <is>
          <t>Rodoviário</t>
        </is>
      </c>
      <c r="I6" s="7" t="inlineStr">
        <is>
          <t>NF-000127</t>
        </is>
      </c>
      <c r="J6" s="13" t="n">
        <v>3.1</v>
      </c>
      <c r="K6" s="21" t="n">
        <v>920</v>
      </c>
      <c r="L6" s="22" t="n">
        <v>1050</v>
      </c>
      <c r="M6" s="23" t="inlineStr">
        <is>
          <t>Entregue</t>
        </is>
      </c>
      <c r="N6" s="21">
        <f>C6-B6</f>
        <v/>
      </c>
      <c r="O6" s="21">
        <f>IF(OR(D6="",C6=""),"",D6-C6)</f>
        <v/>
      </c>
      <c r="P6" s="7">
        <f>IF(OR(D6="",C6=""),"",IF(D6&lt;=C6,"Sim","Não"))</f>
        <v/>
      </c>
      <c r="Q6" s="7" t="inlineStr">
        <is>
          <t>Entrega no prazo</t>
        </is>
      </c>
      <c r="R6" s="11">
        <f>IFERROR(L6/K6,0)</f>
        <v/>
      </c>
    </row>
    <row r="7">
      <c r="A7" s="9" t="inlineStr">
        <is>
          <t>PED-1006</t>
        </is>
      </c>
      <c r="B7" s="24" t="n">
        <v>46036</v>
      </c>
      <c r="C7" s="24" t="n">
        <v>46040</v>
      </c>
      <c r="D7" s="24" t="n">
        <v>46044</v>
      </c>
      <c r="E7" s="9" t="inlineStr">
        <is>
          <t>Juliana Costa</t>
        </is>
      </c>
      <c r="F7" s="9" t="inlineStr">
        <is>
          <t>Salvador/BA</t>
        </is>
      </c>
      <c r="G7" s="9" t="inlineStr">
        <is>
          <t>LogSul</t>
        </is>
      </c>
      <c r="H7" s="9" t="inlineStr">
        <is>
          <t>Transferência</t>
        </is>
      </c>
      <c r="I7" s="9" t="inlineStr">
        <is>
          <t>NF-000128</t>
        </is>
      </c>
      <c r="J7" s="25" t="n">
        <v>1.8</v>
      </c>
      <c r="K7" s="26" t="n">
        <v>430</v>
      </c>
      <c r="L7" s="22" t="n">
        <v>530</v>
      </c>
      <c r="M7" s="23" t="inlineStr">
        <is>
          <t>Atrasado</t>
        </is>
      </c>
      <c r="N7" s="26">
        <f>C7-B7</f>
        <v/>
      </c>
      <c r="O7" s="26">
        <f>IF(OR(D7="",C7=""),"",D7-C7)</f>
        <v/>
      </c>
      <c r="P7" s="9">
        <f>IF(OR(D7="",C7=""),"",IF(D7&lt;=C7,"Sim","Não"))</f>
        <v/>
      </c>
      <c r="Q7" s="9" t="inlineStr">
        <is>
          <t>Atraso na transferência entre CDs</t>
        </is>
      </c>
      <c r="R7" s="12">
        <f>IFERROR(L7/K7,0)</f>
        <v/>
      </c>
    </row>
    <row r="8">
      <c r="A8" s="7" t="inlineStr">
        <is>
          <t>PED-1007</t>
        </is>
      </c>
      <c r="B8" s="20" t="n">
        <v>46037</v>
      </c>
      <c r="C8" s="20" t="n">
        <v>46041</v>
      </c>
      <c r="D8" s="7" t="n"/>
      <c r="E8" s="7" t="inlineStr">
        <is>
          <t>Rafael Almeida</t>
        </is>
      </c>
      <c r="F8" s="7" t="inlineStr">
        <is>
          <t>Recife/PE</t>
        </is>
      </c>
      <c r="G8" s="7" t="inlineStr">
        <is>
          <t>Brasil Express</t>
        </is>
      </c>
      <c r="H8" s="7" t="inlineStr">
        <is>
          <t>Rodoviário</t>
        </is>
      </c>
      <c r="I8" s="7" t="inlineStr">
        <is>
          <t>NF-000129</t>
        </is>
      </c>
      <c r="J8" s="13" t="n">
        <v>2</v>
      </c>
      <c r="K8" s="21" t="n">
        <v>560</v>
      </c>
      <c r="L8" s="22" t="n">
        <v>610</v>
      </c>
      <c r="M8" s="23" t="inlineStr">
        <is>
          <t>Em trânsito</t>
        </is>
      </c>
      <c r="N8" s="21">
        <f>C8-B8</f>
        <v/>
      </c>
      <c r="O8" s="21">
        <f>IF(OR(D8="",C8=""),"",D8-C8)</f>
        <v/>
      </c>
      <c r="P8" s="7">
        <f>IF(OR(D8="",C8=""),"",IF(D8&lt;=C8,"Sim","Não"))</f>
        <v/>
      </c>
      <c r="Q8" s="7" t="inlineStr">
        <is>
          <t>Previsão de chegada em 2 dias</t>
        </is>
      </c>
      <c r="R8" s="11">
        <f>IFERROR(L8/K8,0)</f>
        <v/>
      </c>
    </row>
    <row r="9">
      <c r="A9" s="9" t="inlineStr">
        <is>
          <t>PED-1008</t>
        </is>
      </c>
      <c r="B9" s="24" t="n">
        <v>46038</v>
      </c>
      <c r="C9" s="24" t="n">
        <v>46042</v>
      </c>
      <c r="D9" s="24" t="n">
        <v>46041</v>
      </c>
      <c r="E9" s="9" t="inlineStr">
        <is>
          <t>Camila Ferreira</t>
        </is>
      </c>
      <c r="F9" s="9" t="inlineStr">
        <is>
          <t>Fortaleza/CE</t>
        </is>
      </c>
      <c r="G9" s="9" t="inlineStr">
        <is>
          <t>RodoNorte</t>
        </is>
      </c>
      <c r="H9" s="9" t="inlineStr">
        <is>
          <t>Last Mile</t>
        </is>
      </c>
      <c r="I9" s="9" t="inlineStr">
        <is>
          <t>NF-000130</t>
        </is>
      </c>
      <c r="J9" s="25" t="n">
        <v>0.9</v>
      </c>
      <c r="K9" s="26" t="n">
        <v>180</v>
      </c>
      <c r="L9" s="22" t="n">
        <v>240</v>
      </c>
      <c r="M9" s="23" t="inlineStr">
        <is>
          <t>Entregue</t>
        </is>
      </c>
      <c r="N9" s="26">
        <f>C9-B9</f>
        <v/>
      </c>
      <c r="O9" s="26">
        <f>IF(OR(D9="",C9=""),"",D9-C9)</f>
        <v/>
      </c>
      <c r="P9" s="9">
        <f>IF(OR(D9="",C9=""),"",IF(D9&lt;=C9,"Sim","Não"))</f>
        <v/>
      </c>
      <c r="Q9" s="9" t="inlineStr">
        <is>
          <t>Entrega antecipada</t>
        </is>
      </c>
      <c r="R9" s="12">
        <f>IFERROR(L9/K9,0)</f>
        <v/>
      </c>
    </row>
    <row r="10">
      <c r="A10" s="7" t="inlineStr">
        <is>
          <t>PED-1009</t>
        </is>
      </c>
      <c r="B10" s="20" t="n">
        <v>46040</v>
      </c>
      <c r="C10" s="20" t="n">
        <v>46044</v>
      </c>
      <c r="D10" s="7" t="n"/>
      <c r="E10" s="7" t="inlineStr">
        <is>
          <t>Lucas Rodrigues</t>
        </is>
      </c>
      <c r="F10" s="7" t="inlineStr">
        <is>
          <t>Brasília/DF</t>
        </is>
      </c>
      <c r="G10" s="7" t="inlineStr">
        <is>
          <t>JET Carga</t>
        </is>
      </c>
      <c r="H10" s="7" t="inlineStr">
        <is>
          <t>Aéreo</t>
        </is>
      </c>
      <c r="I10" s="7" t="inlineStr">
        <is>
          <t>NF-000131</t>
        </is>
      </c>
      <c r="J10" s="13" t="n">
        <v>1.1</v>
      </c>
      <c r="K10" s="21" t="n">
        <v>300</v>
      </c>
      <c r="L10" s="22" t="n">
        <v>780</v>
      </c>
      <c r="M10" s="23" t="inlineStr">
        <is>
          <t>Pendente</t>
        </is>
      </c>
      <c r="N10" s="21">
        <f>C10-B10</f>
        <v/>
      </c>
      <c r="O10" s="21">
        <f>IF(OR(D10="",C10=""),"",D10-C10)</f>
        <v/>
      </c>
      <c r="P10" s="7">
        <f>IF(OR(D10="",C10=""),"",IF(D10&lt;=C10,"Sim","Não"))</f>
        <v/>
      </c>
      <c r="Q10" s="7" t="inlineStr">
        <is>
          <t>Aguardando coleta na origem</t>
        </is>
      </c>
      <c r="R10" s="11">
        <f>IFERROR(L10/K10,0)</f>
        <v/>
      </c>
    </row>
    <row r="11">
      <c r="A11" s="9" t="inlineStr">
        <is>
          <t>PED-1010</t>
        </is>
      </c>
      <c r="B11" s="24" t="n">
        <v>46042</v>
      </c>
      <c r="C11" s="24" t="n">
        <v>46046</v>
      </c>
      <c r="D11" s="24" t="n">
        <v>46045</v>
      </c>
      <c r="E11" s="9" t="inlineStr">
        <is>
          <t>Fernanda Lima</t>
        </is>
      </c>
      <c r="F11" s="9" t="inlineStr">
        <is>
          <t>Campinas/SP</t>
        </is>
      </c>
      <c r="G11" s="9" t="inlineStr">
        <is>
          <t>ViaRápida</t>
        </is>
      </c>
      <c r="H11" s="9" t="inlineStr">
        <is>
          <t>Rodoviário</t>
        </is>
      </c>
      <c r="I11" s="9" t="inlineStr">
        <is>
          <t>NF-000132</t>
        </is>
      </c>
      <c r="J11" s="25" t="n">
        <v>2.7</v>
      </c>
      <c r="K11" s="26" t="n">
        <v>700</v>
      </c>
      <c r="L11" s="22" t="n">
        <v>690</v>
      </c>
      <c r="M11" s="23" t="inlineStr">
        <is>
          <t>Entregue</t>
        </is>
      </c>
      <c r="N11" s="26">
        <f>C11-B11</f>
        <v/>
      </c>
      <c r="O11" s="26">
        <f>IF(OR(D11="",C11=""),"",D11-C11)</f>
        <v/>
      </c>
      <c r="P11" s="9">
        <f>IF(OR(D11="",C11=""),"",IF(D11&lt;=C11,"Sim","Não"))</f>
        <v/>
      </c>
      <c r="Q11" s="9" t="inlineStr">
        <is>
          <t>Entrega no prazo</t>
        </is>
      </c>
      <c r="R11" s="12">
        <f>IFERROR(L11/K11,0)</f>
        <v/>
      </c>
    </row>
  </sheetData>
  <conditionalFormatting sqref="M2:M11">
    <cfRule type="expression" priority="1" dxfId="0" stopIfTrue="1">
      <formula>M2="Entregue"</formula>
    </cfRule>
    <cfRule type="expression" priority="2" dxfId="1" stopIfTrue="1">
      <formula>M2="Atrasado"</formula>
    </cfRule>
    <cfRule type="expression" priority="3" dxfId="2" stopIfTrue="1">
      <formula>M2="Em trânsito"</formula>
    </cfRule>
    <cfRule type="expression" priority="4" dxfId="3" stopIfTrue="1">
      <formula>M2="Pendente"</formula>
    </cfRule>
  </conditionalFormatting>
  <conditionalFormatting sqref="O2:O11">
    <cfRule type="cellIs" priority="5" operator="greaterThan" dxfId="1">
      <formula>0</formula>
    </cfRule>
  </conditionalFormatting>
  <conditionalFormatting sqref="P2:P11">
    <cfRule type="expression" priority="6" dxfId="0" stopIfTrue="1">
      <formula>P2="Sim"</formula>
    </cfRule>
    <cfRule type="expression" priority="7" dxfId="1" stopIfTrue="1">
      <formula>P2="Não"</formula>
    </cfRule>
  </conditionalFormatting>
  <dataValidations count="2">
    <dataValidation sqref="M2:M11" showErrorMessage="1" showInputMessage="1" allowBlank="1" type="list">
      <formula1>"Pendente,Em trânsito,Entregue,Atrasado"</formula1>
    </dataValidation>
    <dataValidation sqref="H2:H11" showErrorMessage="1" showInputMessage="1" allowBlank="1" type="list">
      <formula1>"Rodoviário,Aéreo,Transferência,Last Mile"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48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8" customWidth="1" min="3" max="3"/>
    <col width="18" customWidth="1" min="4" max="4"/>
    <col width="14" customWidth="1" min="5" max="5"/>
    <col width="12" customWidth="1" min="6" max="6"/>
  </cols>
  <sheetData>
    <row r="1" ht="26" customHeight="1">
      <c r="A1" s="1" t="inlineStr">
        <is>
          <t>RESUMO OPERACIONAL - LOGÍSTICA</t>
        </is>
      </c>
    </row>
    <row r="2"/>
    <row r="3">
      <c r="A3" s="4" t="inlineStr">
        <is>
          <t>ENTREGAS POR TRANSPORTADORA</t>
        </is>
      </c>
    </row>
    <row r="4">
      <c r="A4" s="19" t="inlineStr">
        <is>
          <t>Transportadora</t>
        </is>
      </c>
      <c r="B4" s="19" t="inlineStr">
        <is>
          <t>Qtd. Entregas</t>
        </is>
      </c>
      <c r="C4" s="19" t="inlineStr">
        <is>
          <t>Total Frete (R$)</t>
        </is>
      </c>
      <c r="D4" s="19" t="inlineStr">
        <is>
          <t>Prazo Médio (dias)</t>
        </is>
      </c>
      <c r="E4" s="19" t="inlineStr">
        <is>
          <t>Qtd. Atrasos</t>
        </is>
      </c>
      <c r="F4" s="19" t="inlineStr">
        <is>
          <t>% Atraso</t>
        </is>
      </c>
    </row>
    <row r="5">
      <c r="A5" s="7" t="inlineStr">
        <is>
          <t>LogSul</t>
        </is>
      </c>
      <c r="B5" s="7">
        <f>COUNTIF(Base_Entregas!$G$2:$G$11,"LogSul")</f>
        <v/>
      </c>
      <c r="C5" s="11">
        <f>SUMIF(Base_Entregas!$G$2:$G$11,"LogSul",Base_Entregas!$L$2:$L$11)</f>
        <v/>
      </c>
      <c r="D5" s="13">
        <f>IFERROR(AVERAGEIF(Base_Entregas!$G$2:$G$11,"LogSul",Base_Entregas!$N$2:$N$11),0)</f>
        <v/>
      </c>
      <c r="E5" s="7">
        <f>COUNTIFS(Base_Entregas!$G$2:$G$11,"LogSul",Base_Entregas!$M$2:$M$11,"Atrasado")</f>
        <v/>
      </c>
      <c r="F5" s="27">
        <f>IFERROR(E5/B5,0)</f>
        <v/>
      </c>
    </row>
    <row r="6">
      <c r="A6" s="9" t="inlineStr">
        <is>
          <t>Brasil Express</t>
        </is>
      </c>
      <c r="B6" s="9">
        <f>COUNTIF(Base_Entregas!$G$2:$G$11,"Brasil Express")</f>
        <v/>
      </c>
      <c r="C6" s="12">
        <f>SUMIF(Base_Entregas!$G$2:$G$11,"Brasil Express",Base_Entregas!$L$2:$L$11)</f>
        <v/>
      </c>
      <c r="D6" s="25">
        <f>IFERROR(AVERAGEIF(Base_Entregas!$G$2:$G$11,"Brasil Express",Base_Entregas!$N$2:$N$11),0)</f>
        <v/>
      </c>
      <c r="E6" s="9">
        <f>COUNTIFS(Base_Entregas!$G$2:$G$11,"Brasil Express",Base_Entregas!$M$2:$M$11,"Atrasado")</f>
        <v/>
      </c>
      <c r="F6" s="10">
        <f>IFERROR(E6/B6,0)</f>
        <v/>
      </c>
    </row>
    <row r="7">
      <c r="A7" s="7" t="inlineStr">
        <is>
          <t>RodoNorte</t>
        </is>
      </c>
      <c r="B7" s="7">
        <f>COUNTIF(Base_Entregas!$G$2:$G$11,"RodoNorte")</f>
        <v/>
      </c>
      <c r="C7" s="11">
        <f>SUMIF(Base_Entregas!$G$2:$G$11,"RodoNorte",Base_Entregas!$L$2:$L$11)</f>
        <v/>
      </c>
      <c r="D7" s="13">
        <f>IFERROR(AVERAGEIF(Base_Entregas!$G$2:$G$11,"RodoNorte",Base_Entregas!$N$2:$N$11),0)</f>
        <v/>
      </c>
      <c r="E7" s="7">
        <f>COUNTIFS(Base_Entregas!$G$2:$G$11,"RodoNorte",Base_Entregas!$M$2:$M$11,"Atrasado")</f>
        <v/>
      </c>
      <c r="F7" s="27">
        <f>IFERROR(E7/B7,0)</f>
        <v/>
      </c>
    </row>
    <row r="8">
      <c r="A8" s="9" t="inlineStr">
        <is>
          <t>JET Carga</t>
        </is>
      </c>
      <c r="B8" s="9">
        <f>COUNTIF(Base_Entregas!$G$2:$G$11,"JET Carga")</f>
        <v/>
      </c>
      <c r="C8" s="12">
        <f>SUMIF(Base_Entregas!$G$2:$G$11,"JET Carga",Base_Entregas!$L$2:$L$11)</f>
        <v/>
      </c>
      <c r="D8" s="25">
        <f>IFERROR(AVERAGEIF(Base_Entregas!$G$2:$G$11,"JET Carga",Base_Entregas!$N$2:$N$11),0)</f>
        <v/>
      </c>
      <c r="E8" s="9">
        <f>COUNTIFS(Base_Entregas!$G$2:$G$11,"JET Carga",Base_Entregas!$M$2:$M$11,"Atrasado")</f>
        <v/>
      </c>
      <c r="F8" s="10">
        <f>IFERROR(E8/B8,0)</f>
        <v/>
      </c>
    </row>
    <row r="9">
      <c r="A9" s="7" t="inlineStr">
        <is>
          <t>ViaRápida</t>
        </is>
      </c>
      <c r="B9" s="7">
        <f>COUNTIF(Base_Entregas!$G$2:$G$11,"ViaRápida")</f>
        <v/>
      </c>
      <c r="C9" s="11">
        <f>SUMIF(Base_Entregas!$G$2:$G$11,"ViaRápida",Base_Entregas!$L$2:$L$11)</f>
        <v/>
      </c>
      <c r="D9" s="13">
        <f>IFERROR(AVERAGEIF(Base_Entregas!$G$2:$G$11,"ViaRápida",Base_Entregas!$N$2:$N$11),0)</f>
        <v/>
      </c>
      <c r="E9" s="7">
        <f>COUNTIFS(Base_Entregas!$G$2:$G$11,"ViaRápida",Base_Entregas!$M$2:$M$11,"Atrasado")</f>
        <v/>
      </c>
      <c r="F9" s="27">
        <f>IFERROR(E9/B9,0)</f>
        <v/>
      </c>
    </row>
    <row r="10"/>
    <row r="11">
      <c r="A11" s="4" t="inlineStr">
        <is>
          <t>ENTREGAS POR CIDADE/UF</t>
        </is>
      </c>
    </row>
    <row r="12">
      <c r="A12" s="19" t="inlineStr">
        <is>
          <t>Cidade/UF</t>
        </is>
      </c>
      <c r="B12" s="19" t="inlineStr">
        <is>
          <t>Qtd. Entregas</t>
        </is>
      </c>
      <c r="C12" s="19" t="inlineStr">
        <is>
          <t>Volume Total (m³)</t>
        </is>
      </c>
      <c r="D12" s="19" t="inlineStr">
        <is>
          <t>Custo Total (R$)</t>
        </is>
      </c>
    </row>
    <row r="13">
      <c r="A13" s="7" t="inlineStr">
        <is>
          <t>São Paulo/SP</t>
        </is>
      </c>
      <c r="B13" s="7">
        <f>COUNTIF(Base_Entregas!$F$2:$F$11,"São Paulo/SP")</f>
        <v/>
      </c>
      <c r="C13" s="13">
        <f>SUMIF(Base_Entregas!$F$2:$F$11,"São Paulo/SP",Base_Entregas!$J$2:$J$11)</f>
        <v/>
      </c>
      <c r="D13" s="11">
        <f>SUMIF(Base_Entregas!$F$2:$F$11,"São Paulo/SP",Base_Entregas!$L$2:$L$11)</f>
        <v/>
      </c>
    </row>
    <row r="14">
      <c r="A14" s="9" t="inlineStr">
        <is>
          <t>Rio de Janeiro/RJ</t>
        </is>
      </c>
      <c r="B14" s="9">
        <f>COUNTIF(Base_Entregas!$F$2:$F$11,"Rio de Janeiro/RJ")</f>
        <v/>
      </c>
      <c r="C14" s="25">
        <f>SUMIF(Base_Entregas!$F$2:$F$11,"Rio de Janeiro/RJ",Base_Entregas!$J$2:$J$11)</f>
        <v/>
      </c>
      <c r="D14" s="12">
        <f>SUMIF(Base_Entregas!$F$2:$F$11,"Rio de Janeiro/RJ",Base_Entregas!$L$2:$L$11)</f>
        <v/>
      </c>
    </row>
    <row r="15">
      <c r="A15" s="7" t="inlineStr">
        <is>
          <t>Belo Horizonte/MG</t>
        </is>
      </c>
      <c r="B15" s="7">
        <f>COUNTIF(Base_Entregas!$F$2:$F$11,"Belo Horizonte/MG")</f>
        <v/>
      </c>
      <c r="C15" s="13">
        <f>SUMIF(Base_Entregas!$F$2:$F$11,"Belo Horizonte/MG",Base_Entregas!$J$2:$J$11)</f>
        <v/>
      </c>
      <c r="D15" s="11">
        <f>SUMIF(Base_Entregas!$F$2:$F$11,"Belo Horizonte/MG",Base_Entregas!$L$2:$L$11)</f>
        <v/>
      </c>
    </row>
    <row r="16">
      <c r="A16" s="9" t="inlineStr">
        <is>
          <t>Curitiba/PR</t>
        </is>
      </c>
      <c r="B16" s="9">
        <f>COUNTIF(Base_Entregas!$F$2:$F$11,"Curitiba/PR")</f>
        <v/>
      </c>
      <c r="C16" s="25">
        <f>SUMIF(Base_Entregas!$F$2:$F$11,"Curitiba/PR",Base_Entregas!$J$2:$J$11)</f>
        <v/>
      </c>
      <c r="D16" s="12">
        <f>SUMIF(Base_Entregas!$F$2:$F$11,"Curitiba/PR",Base_Entregas!$L$2:$L$11)</f>
        <v/>
      </c>
    </row>
    <row r="17">
      <c r="A17" s="7" t="inlineStr">
        <is>
          <t>Porto Alegre/RS</t>
        </is>
      </c>
      <c r="B17" s="7">
        <f>COUNTIF(Base_Entregas!$F$2:$F$11,"Porto Alegre/RS")</f>
        <v/>
      </c>
      <c r="C17" s="13">
        <f>SUMIF(Base_Entregas!$F$2:$F$11,"Porto Alegre/RS",Base_Entregas!$J$2:$J$11)</f>
        <v/>
      </c>
      <c r="D17" s="11">
        <f>SUMIF(Base_Entregas!$F$2:$F$11,"Porto Alegre/RS",Base_Entregas!$L$2:$L$11)</f>
        <v/>
      </c>
    </row>
    <row r="18">
      <c r="A18" s="9" t="inlineStr">
        <is>
          <t>Salvador/BA</t>
        </is>
      </c>
      <c r="B18" s="9">
        <f>COUNTIF(Base_Entregas!$F$2:$F$11,"Salvador/BA")</f>
        <v/>
      </c>
      <c r="C18" s="25">
        <f>SUMIF(Base_Entregas!$F$2:$F$11,"Salvador/BA",Base_Entregas!$J$2:$J$11)</f>
        <v/>
      </c>
      <c r="D18" s="12">
        <f>SUMIF(Base_Entregas!$F$2:$F$11,"Salvador/BA",Base_Entregas!$L$2:$L$11)</f>
        <v/>
      </c>
    </row>
    <row r="19">
      <c r="A19" s="7" t="inlineStr">
        <is>
          <t>Recife/PE</t>
        </is>
      </c>
      <c r="B19" s="7">
        <f>COUNTIF(Base_Entregas!$F$2:$F$11,"Recife/PE")</f>
        <v/>
      </c>
      <c r="C19" s="13">
        <f>SUMIF(Base_Entregas!$F$2:$F$11,"Recife/PE",Base_Entregas!$J$2:$J$11)</f>
        <v/>
      </c>
      <c r="D19" s="11">
        <f>SUMIF(Base_Entregas!$F$2:$F$11,"Recife/PE",Base_Entregas!$L$2:$L$11)</f>
        <v/>
      </c>
    </row>
    <row r="20">
      <c r="A20" s="9" t="inlineStr">
        <is>
          <t>Fortaleza/CE</t>
        </is>
      </c>
      <c r="B20" s="9">
        <f>COUNTIF(Base_Entregas!$F$2:$F$11,"Fortaleza/CE")</f>
        <v/>
      </c>
      <c r="C20" s="25">
        <f>SUMIF(Base_Entregas!$F$2:$F$11,"Fortaleza/CE",Base_Entregas!$J$2:$J$11)</f>
        <v/>
      </c>
      <c r="D20" s="12">
        <f>SUMIF(Base_Entregas!$F$2:$F$11,"Fortaleza/CE",Base_Entregas!$L$2:$L$11)</f>
        <v/>
      </c>
    </row>
    <row r="21">
      <c r="A21" s="7" t="inlineStr">
        <is>
          <t>Brasília/DF</t>
        </is>
      </c>
      <c r="B21" s="7">
        <f>COUNTIF(Base_Entregas!$F$2:$F$11,"Brasília/DF")</f>
        <v/>
      </c>
      <c r="C21" s="13">
        <f>SUMIF(Base_Entregas!$F$2:$F$11,"Brasília/DF",Base_Entregas!$J$2:$J$11)</f>
        <v/>
      </c>
      <c r="D21" s="11">
        <f>SUMIF(Base_Entregas!$F$2:$F$11,"Brasília/DF",Base_Entregas!$L$2:$L$11)</f>
        <v/>
      </c>
    </row>
    <row r="22">
      <c r="A22" s="9" t="inlineStr">
        <is>
          <t>Campinas/SP</t>
        </is>
      </c>
      <c r="B22" s="9">
        <f>COUNTIF(Base_Entregas!$F$2:$F$11,"Campinas/SP")</f>
        <v/>
      </c>
      <c r="C22" s="25">
        <f>SUMIF(Base_Entregas!$F$2:$F$11,"Campinas/SP",Base_Entregas!$J$2:$J$11)</f>
        <v/>
      </c>
      <c r="D22" s="12">
        <f>SUMIF(Base_Entregas!$F$2:$F$11,"Campinas/SP",Base_Entregas!$L$2:$L$11)</f>
        <v/>
      </c>
    </row>
    <row r="23"/>
    <row r="24">
      <c r="A24" s="4" t="inlineStr">
        <is>
          <t>CUSTOS POR MODALIDADE</t>
        </is>
      </c>
    </row>
    <row r="25">
      <c r="A25" s="19" t="inlineStr">
        <is>
          <t>Modalidade</t>
        </is>
      </c>
      <c r="B25" s="19" t="inlineStr">
        <is>
          <t>Qtd. Pedidos</t>
        </is>
      </c>
      <c r="C25" s="19" t="inlineStr">
        <is>
          <t>Custo Total (R$)</t>
        </is>
      </c>
    </row>
    <row r="26">
      <c r="A26" s="7" t="inlineStr">
        <is>
          <t>Rodoviário</t>
        </is>
      </c>
      <c r="B26" s="7">
        <f>COUNTIF(Base_Entregas!$H$2:$H$11,"Rodoviário")</f>
        <v/>
      </c>
      <c r="C26" s="11">
        <f>SUMIF(Base_Entregas!$H$2:$H$11,"Rodoviário",Base_Entregas!$L$2:$L$11)</f>
        <v/>
      </c>
    </row>
    <row r="27">
      <c r="A27" s="9" t="inlineStr">
        <is>
          <t>Aéreo</t>
        </is>
      </c>
      <c r="B27" s="9">
        <f>COUNTIF(Base_Entregas!$H$2:$H$11,"Aéreo")</f>
        <v/>
      </c>
      <c r="C27" s="12">
        <f>SUMIF(Base_Entregas!$H$2:$H$11,"Aéreo",Base_Entregas!$L$2:$L$11)</f>
        <v/>
      </c>
    </row>
    <row r="28">
      <c r="A28" s="7" t="inlineStr">
        <is>
          <t>Transferência</t>
        </is>
      </c>
      <c r="B28" s="7">
        <f>COUNTIF(Base_Entregas!$H$2:$H$11,"Transferência")</f>
        <v/>
      </c>
      <c r="C28" s="11">
        <f>SUMIF(Base_Entregas!$H$2:$H$11,"Transferência",Base_Entregas!$L$2:$L$11)</f>
        <v/>
      </c>
    </row>
    <row r="29">
      <c r="A29" s="9" t="inlineStr">
        <is>
          <t>Last Mile</t>
        </is>
      </c>
      <c r="B29" s="9">
        <f>COUNTIF(Base_Entregas!$H$2:$H$11,"Last Mile")</f>
        <v/>
      </c>
      <c r="C29" s="12">
        <f>SUMIF(Base_Entregas!$H$2:$H$11,"Last Mile",Base_Entregas!$L$2:$L$11)</f>
        <v/>
      </c>
    </row>
    <row r="30"/>
    <row r="31">
      <c r="A31" s="4" t="inlineStr">
        <is>
          <t>RANKING DE CLIENTES POR VOLUME</t>
        </is>
      </c>
    </row>
    <row r="32">
      <c r="A32" s="19" t="inlineStr">
        <is>
          <t>Cliente</t>
        </is>
      </c>
      <c r="B32" s="19" t="inlineStr">
        <is>
          <t>Volume Total (m³)</t>
        </is>
      </c>
      <c r="C32" s="19" t="inlineStr">
        <is>
          <t>Custo Total (R$)</t>
        </is>
      </c>
      <c r="D32" s="19" t="inlineStr">
        <is>
          <t>Posição</t>
        </is>
      </c>
    </row>
    <row r="33">
      <c r="A33" s="7" t="inlineStr">
        <is>
          <t>João Silva</t>
        </is>
      </c>
      <c r="B33" s="13">
        <f>SUMIF(Base_Entregas!$E$2:$E$11,"João Silva",Base_Entregas!$J$2:$J$11)</f>
        <v/>
      </c>
      <c r="C33" s="11">
        <f>SUMIF(Base_Entregas!$E$2:$E$11,"João Silva",Base_Entregas!$L$2:$L$11)</f>
        <v/>
      </c>
      <c r="D33" s="7">
        <f>RANK(B33,$B$33:$B$42)</f>
        <v/>
      </c>
    </row>
    <row r="34">
      <c r="A34" s="9" t="inlineStr">
        <is>
          <t>Maria Oliveira</t>
        </is>
      </c>
      <c r="B34" s="25">
        <f>SUMIF(Base_Entregas!$E$2:$E$11,"Maria Oliveira",Base_Entregas!$J$2:$J$11)</f>
        <v/>
      </c>
      <c r="C34" s="12">
        <f>SUMIF(Base_Entregas!$E$2:$E$11,"Maria Oliveira",Base_Entregas!$L$2:$L$11)</f>
        <v/>
      </c>
      <c r="D34" s="9">
        <f>RANK(B34,$B$33:$B$42)</f>
        <v/>
      </c>
    </row>
    <row r="35">
      <c r="A35" s="7" t="inlineStr">
        <is>
          <t>Pedro Santos</t>
        </is>
      </c>
      <c r="B35" s="13">
        <f>SUMIF(Base_Entregas!$E$2:$E$11,"Pedro Santos",Base_Entregas!$J$2:$J$11)</f>
        <v/>
      </c>
      <c r="C35" s="11">
        <f>SUMIF(Base_Entregas!$E$2:$E$11,"Pedro Santos",Base_Entregas!$L$2:$L$11)</f>
        <v/>
      </c>
      <c r="D35" s="7">
        <f>RANK(B35,$B$33:$B$42)</f>
        <v/>
      </c>
    </row>
    <row r="36">
      <c r="A36" s="9" t="inlineStr">
        <is>
          <t>Ana Souza</t>
        </is>
      </c>
      <c r="B36" s="25">
        <f>SUMIF(Base_Entregas!$E$2:$E$11,"Ana Souza",Base_Entregas!$J$2:$J$11)</f>
        <v/>
      </c>
      <c r="C36" s="12">
        <f>SUMIF(Base_Entregas!$E$2:$E$11,"Ana Souza",Base_Entregas!$L$2:$L$11)</f>
        <v/>
      </c>
      <c r="D36" s="9">
        <f>RANK(B36,$B$33:$B$42)</f>
        <v/>
      </c>
    </row>
    <row r="37">
      <c r="A37" s="7" t="inlineStr">
        <is>
          <t>Carlos Pereira</t>
        </is>
      </c>
      <c r="B37" s="13">
        <f>SUMIF(Base_Entregas!$E$2:$E$11,"Carlos Pereira",Base_Entregas!$J$2:$J$11)</f>
        <v/>
      </c>
      <c r="C37" s="11">
        <f>SUMIF(Base_Entregas!$E$2:$E$11,"Carlos Pereira",Base_Entregas!$L$2:$L$11)</f>
        <v/>
      </c>
      <c r="D37" s="7">
        <f>RANK(B37,$B$33:$B$42)</f>
        <v/>
      </c>
    </row>
    <row r="38">
      <c r="A38" s="9" t="inlineStr">
        <is>
          <t>Juliana Costa</t>
        </is>
      </c>
      <c r="B38" s="25">
        <f>SUMIF(Base_Entregas!$E$2:$E$11,"Juliana Costa",Base_Entregas!$J$2:$J$11)</f>
        <v/>
      </c>
      <c r="C38" s="12">
        <f>SUMIF(Base_Entregas!$E$2:$E$11,"Juliana Costa",Base_Entregas!$L$2:$L$11)</f>
        <v/>
      </c>
      <c r="D38" s="9">
        <f>RANK(B38,$B$33:$B$42)</f>
        <v/>
      </c>
    </row>
    <row r="39">
      <c r="A39" s="7" t="inlineStr">
        <is>
          <t>Rafael Almeida</t>
        </is>
      </c>
      <c r="B39" s="13">
        <f>SUMIF(Base_Entregas!$E$2:$E$11,"Rafael Almeida",Base_Entregas!$J$2:$J$11)</f>
        <v/>
      </c>
      <c r="C39" s="11">
        <f>SUMIF(Base_Entregas!$E$2:$E$11,"Rafael Almeida",Base_Entregas!$L$2:$L$11)</f>
        <v/>
      </c>
      <c r="D39" s="7">
        <f>RANK(B39,$B$33:$B$42)</f>
        <v/>
      </c>
    </row>
    <row r="40">
      <c r="A40" s="9" t="inlineStr">
        <is>
          <t>Camila Ferreira</t>
        </is>
      </c>
      <c r="B40" s="25">
        <f>SUMIF(Base_Entregas!$E$2:$E$11,"Camila Ferreira",Base_Entregas!$J$2:$J$11)</f>
        <v/>
      </c>
      <c r="C40" s="12">
        <f>SUMIF(Base_Entregas!$E$2:$E$11,"Camila Ferreira",Base_Entregas!$L$2:$L$11)</f>
        <v/>
      </c>
      <c r="D40" s="9">
        <f>RANK(B40,$B$33:$B$42)</f>
        <v/>
      </c>
    </row>
    <row r="41">
      <c r="A41" s="7" t="inlineStr">
        <is>
          <t>Lucas Rodrigues</t>
        </is>
      </c>
      <c r="B41" s="13">
        <f>SUMIF(Base_Entregas!$E$2:$E$11,"Lucas Rodrigues",Base_Entregas!$J$2:$J$11)</f>
        <v/>
      </c>
      <c r="C41" s="11">
        <f>SUMIF(Base_Entregas!$E$2:$E$11,"Lucas Rodrigues",Base_Entregas!$L$2:$L$11)</f>
        <v/>
      </c>
      <c r="D41" s="7">
        <f>RANK(B41,$B$33:$B$42)</f>
        <v/>
      </c>
    </row>
    <row r="42">
      <c r="A42" s="9" t="inlineStr">
        <is>
          <t>Fernanda Lima</t>
        </is>
      </c>
      <c r="B42" s="25">
        <f>SUMIF(Base_Entregas!$E$2:$E$11,"Fernanda Lima",Base_Entregas!$J$2:$J$11)</f>
        <v/>
      </c>
      <c r="C42" s="12">
        <f>SUMIF(Base_Entregas!$E$2:$E$11,"Fernanda Lima",Base_Entregas!$L$2:$L$11)</f>
        <v/>
      </c>
      <c r="D42" s="9">
        <f>RANK(B42,$B$33:$B$42)</f>
        <v/>
      </c>
    </row>
    <row r="43"/>
    <row r="44">
      <c r="A44" s="4" t="inlineStr">
        <is>
          <t>CONSULTA RÁPIDA DE PEDIDO</t>
        </is>
      </c>
    </row>
    <row r="45">
      <c r="A45" s="8" t="inlineStr">
        <is>
          <t>Nº Pedido:</t>
        </is>
      </c>
      <c r="B45" s="28" t="inlineStr">
        <is>
          <t>PED-1002</t>
        </is>
      </c>
    </row>
    <row r="46">
      <c r="A46" s="8" t="inlineStr">
        <is>
          <t>Cliente:</t>
        </is>
      </c>
      <c r="B46" s="17">
        <f>IFERROR(VLOOKUP($B$45,Base_Entregas!$A$2:$Q$11,5,0),"Não encontrado")</f>
        <v/>
      </c>
    </row>
    <row r="47">
      <c r="A47" s="8" t="inlineStr">
        <is>
          <t>Status:</t>
        </is>
      </c>
      <c r="B47" s="17">
        <f>IFERROR(VLOOKUP($B$45,Base_Entregas!$A$2:$Q$11,13,0),"Não encontrado")</f>
        <v/>
      </c>
    </row>
    <row r="48">
      <c r="A48" s="8" t="inlineStr">
        <is>
          <t>Custo do Frete (R$):</t>
        </is>
      </c>
      <c r="B48" s="18">
        <f>IFERROR(VLOOKUP($B$45,Base_Entregas!$A$2:$Q$11,12,0),0)</f>
        <v/>
      </c>
    </row>
  </sheetData>
  <mergeCells count="6">
    <mergeCell ref="A1:F1"/>
    <mergeCell ref="A3:F3"/>
    <mergeCell ref="A11:D11"/>
    <mergeCell ref="A24:C24"/>
    <mergeCell ref="A31:D31"/>
    <mergeCell ref="A44:D4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3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40" customWidth="1" min="2" max="2"/>
    <col width="20" customWidth="1" min="3" max="3"/>
    <col width="20" customWidth="1" min="4" max="4"/>
  </cols>
  <sheetData>
    <row r="1" ht="28" customHeight="1">
      <c r="A1" s="1" t="inlineStr">
        <is>
          <t>INSTRUÇÕES DE USO - CONTROLE LOGÍSTICO</t>
        </is>
      </c>
    </row>
    <row r="2"/>
    <row r="3" ht="20" customHeight="1">
      <c r="A3" s="29" t="inlineStr">
        <is>
          <t>1. Como preencher a Base_Entregas</t>
        </is>
      </c>
    </row>
    <row r="4">
      <c r="A4" s="30" t="inlineStr">
        <is>
          <t>•</t>
        </is>
      </c>
      <c r="B4" s="31" t="inlineStr">
        <is>
          <t>Preencha um pedido por linha, sempre com Nº Pedido único (ex: PED-1011).</t>
        </is>
      </c>
    </row>
    <row r="5">
      <c r="A5" s="32" t="inlineStr">
        <is>
          <t>•</t>
        </is>
      </c>
      <c r="B5" s="33" t="inlineStr">
        <is>
          <t>As colunas de Data de Coleta e Data Prevista de Entrega são obrigatórias.</t>
        </is>
      </c>
    </row>
    <row r="6">
      <c r="A6" s="30" t="inlineStr">
        <is>
          <t>•</t>
        </is>
      </c>
      <c r="B6" s="31" t="inlineStr">
        <is>
          <t>A Data Real de Entrega deve ficar em branco até o pedido ser efetivamente entregue.</t>
        </is>
      </c>
    </row>
    <row r="7">
      <c r="A7" s="32" t="inlineStr">
        <is>
          <t>•</t>
        </is>
      </c>
      <c r="B7" s="33" t="inlineStr">
        <is>
          <t>Informe Volume (m³), Peso (kg) e Custo do Frete (R$) com valores numéricos.</t>
        </is>
      </c>
    </row>
    <row r="8">
      <c r="A8" s="30" t="inlineStr">
        <is>
          <t>•</t>
        </is>
      </c>
      <c r="B8" s="31" t="inlineStr">
        <is>
          <t>As colunas SLA, Atraso, Pontual? e Custo/kg são calculadas automaticamente, não editar.</t>
        </is>
      </c>
    </row>
    <row r="9"/>
    <row r="10" ht="20" customHeight="1">
      <c r="A10" s="29" t="inlineStr">
        <is>
          <t>2. Significado dos status</t>
        </is>
      </c>
    </row>
    <row r="11">
      <c r="A11" s="30" t="inlineStr">
        <is>
          <t>•</t>
        </is>
      </c>
      <c r="B11" s="31" t="inlineStr">
        <is>
          <t>Pendente: pedido registrado, aguardando coleta ou liberação.</t>
        </is>
      </c>
    </row>
    <row r="12">
      <c r="A12" s="32" t="inlineStr">
        <is>
          <t>•</t>
        </is>
      </c>
      <c r="B12" s="33" t="inlineStr">
        <is>
          <t>Em trânsito: mercadoria já coletada e em deslocamento até o destino.</t>
        </is>
      </c>
    </row>
    <row r="13">
      <c r="A13" s="30" t="inlineStr">
        <is>
          <t>•</t>
        </is>
      </c>
      <c r="B13" s="31" t="inlineStr">
        <is>
          <t>Entregue: pedido finalizado com sucesso, com data real de entrega preenchida.</t>
        </is>
      </c>
    </row>
    <row r="14">
      <c r="A14" s="32" t="inlineStr">
        <is>
          <t>•</t>
        </is>
      </c>
      <c r="B14" s="33" t="inlineStr">
        <is>
          <t>Atrasado: pedido que ultrapassou a data prevista de entrega.</t>
        </is>
      </c>
    </row>
    <row r="15"/>
    <row r="16" ht="20" customHeight="1">
      <c r="A16" s="29" t="inlineStr">
        <is>
          <t>3. Regras de atualização</t>
        </is>
      </c>
    </row>
    <row r="17">
      <c r="A17" s="30" t="inlineStr">
        <is>
          <t>•</t>
        </is>
      </c>
      <c r="B17" s="31" t="inlineStr">
        <is>
          <t>Atualize o Status assim que houver mudança operacional no pedido.</t>
        </is>
      </c>
    </row>
    <row r="18">
      <c r="A18" s="32" t="inlineStr">
        <is>
          <t>•</t>
        </is>
      </c>
      <c r="B18" s="33" t="inlineStr">
        <is>
          <t>Ao registrar a Data Real de Entrega, as fórmulas de Atraso e Pontual? são recalculadas.</t>
        </is>
      </c>
    </row>
    <row r="19">
      <c r="A19" s="30" t="inlineStr">
        <is>
          <t>•</t>
        </is>
      </c>
      <c r="B19" s="31" t="inlineStr">
        <is>
          <t>Utilize a lista suspensa da coluna Status para evitar erros de digitação.</t>
        </is>
      </c>
    </row>
    <row r="20">
      <c r="A20" s="32" t="inlineStr">
        <is>
          <t>•</t>
        </is>
      </c>
      <c r="B20" s="33" t="inlineStr">
        <is>
          <t>Revise diariamente os pedidos com status Pendente e Em trânsito.</t>
        </is>
      </c>
    </row>
    <row r="21"/>
    <row r="22" ht="20" customHeight="1">
      <c r="A22" s="29" t="inlineStr">
        <is>
          <t>4. Observações sobre NF-e, CNPJ e LGPD</t>
        </is>
      </c>
    </row>
    <row r="23">
      <c r="A23" s="30" t="inlineStr">
        <is>
          <t>•</t>
        </is>
      </c>
      <c r="B23" s="31" t="inlineStr">
        <is>
          <t>O número da NF-e deve ser preenchido conforme emissão fiscal do pedido.</t>
        </is>
      </c>
    </row>
    <row r="24">
      <c r="A24" s="32" t="inlineStr">
        <is>
          <t>•</t>
        </is>
      </c>
      <c r="B24" s="33" t="inlineStr">
        <is>
          <t>Dados de clientes (nome, cidade) devem ser tratados conforme a LGPD (Lei 13.709/2018).</t>
        </is>
      </c>
    </row>
    <row r="25">
      <c r="A25" s="30" t="inlineStr">
        <is>
          <t>•</t>
        </is>
      </c>
      <c r="B25" s="31" t="inlineStr">
        <is>
          <t>Evite armazenar CPF/CNPJ completo em planilhas compartilhadas sem controle de acesso.</t>
        </is>
      </c>
    </row>
    <row r="26">
      <c r="A26" s="32" t="inlineStr">
        <is>
          <t>•</t>
        </is>
      </c>
      <c r="B26" s="33" t="inlineStr">
        <is>
          <t>Compartilhe esta planilha apenas com colaboradores autorizados da operação logística.</t>
        </is>
      </c>
    </row>
    <row r="27"/>
    <row r="28" ht="20" customHeight="1">
      <c r="A28" s="29" t="inlineStr">
        <is>
          <t>5. Recomendações para uso no dia a dia</t>
        </is>
      </c>
    </row>
    <row r="29">
      <c r="A29" s="30" t="inlineStr">
        <is>
          <t>•</t>
        </is>
      </c>
      <c r="B29" s="31" t="inlineStr">
        <is>
          <t>Utilize o Painel_Logístico para acompanhar indicadores e gráficos em tempo real.</t>
        </is>
      </c>
    </row>
    <row r="30">
      <c r="A30" s="32" t="inlineStr">
        <is>
          <t>•</t>
        </is>
      </c>
      <c r="B30" s="33" t="inlineStr">
        <is>
          <t>Consulte o Resumo_Operacional para identificar transportadoras e cidades com mais atrasos.</t>
        </is>
      </c>
    </row>
    <row r="31">
      <c r="A31" s="30" t="inlineStr">
        <is>
          <t>•</t>
        </is>
      </c>
      <c r="B31" s="31" t="inlineStr">
        <is>
          <t>Mantenha a Base_Entregas sempre atualizada para garantir a precisão dos indicadores.</t>
        </is>
      </c>
    </row>
    <row r="32">
      <c r="A32" s="32" t="inlineStr">
        <is>
          <t>•</t>
        </is>
      </c>
      <c r="B32" s="33" t="inlineStr">
        <is>
          <t>Não é necessário proteger a planilha; mantenha backups periódicos do arquivo.</t>
        </is>
      </c>
    </row>
  </sheetData>
  <mergeCells count="27">
    <mergeCell ref="A1:D1"/>
    <mergeCell ref="A3:D3"/>
    <mergeCell ref="B4:D4"/>
    <mergeCell ref="B5:D5"/>
    <mergeCell ref="B6:D6"/>
    <mergeCell ref="B7:D7"/>
    <mergeCell ref="B8:D8"/>
    <mergeCell ref="A10:D10"/>
    <mergeCell ref="B11:D11"/>
    <mergeCell ref="B12:D12"/>
    <mergeCell ref="B13:D13"/>
    <mergeCell ref="B14:D14"/>
    <mergeCell ref="A16:D16"/>
    <mergeCell ref="B17:D17"/>
    <mergeCell ref="B18:D18"/>
    <mergeCell ref="B19:D19"/>
    <mergeCell ref="B20:D20"/>
    <mergeCell ref="A22:D22"/>
    <mergeCell ref="B23:D23"/>
    <mergeCell ref="B24:D24"/>
    <mergeCell ref="B25:D25"/>
    <mergeCell ref="B26:D26"/>
    <mergeCell ref="A28:D28"/>
    <mergeCell ref="B29:D29"/>
    <mergeCell ref="B30:D30"/>
    <mergeCell ref="B31:D31"/>
    <mergeCell ref="B32:D3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2026-07-13T09:09:22Z</dcterms:created>
  <dcterms:modified xmlns:dcterms="http://purl.org/dc/terms/" xmlns:xsi="http://www.w3.org/2001/XMLSchema-instance" xsi:type="dcterms:W3CDTF">2026-07-13T09:09:22Z</dcterms:modified>
</cp:coreProperties>
</file>